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P1" sheetId="1" r:id="rId1"/>
    <sheet name="P2" sheetId="2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  <sheet name="P9" sheetId="9" r:id="rId9"/>
    <sheet name="P10" sheetId="10" r:id="rId10"/>
    <sheet name="P11" sheetId="11" r:id="rId11"/>
    <sheet name="P12" sheetId="12" r:id="rId12"/>
    <sheet name="P13" sheetId="13" r:id="rId13"/>
    <sheet name="P14" sheetId="14" r:id="rId14"/>
    <sheet name="P15" sheetId="15" r:id="rId15"/>
    <sheet name="P16" sheetId="16" r:id="rId16"/>
    <sheet name="P17" sheetId="17" r:id="rId17"/>
    <sheet name="P18" sheetId="18" r:id="rId18"/>
    <sheet name="P19" sheetId="19" r:id="rId19"/>
    <sheet name="P20" sheetId="20" r:id="rId20"/>
    <sheet name="P21" sheetId="21" r:id="rId21"/>
    <sheet name="P22" sheetId="22" r:id="rId22"/>
  </sheets>
  <calcPr calcId="181029"/>
</workbook>
</file>

<file path=xl/calcChain.xml><?xml version="1.0" encoding="utf-8"?>
<calcChain xmlns="http://schemas.openxmlformats.org/spreadsheetml/2006/main">
  <c r="L50" i="22" l="1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  <c r="L3" i="22"/>
  <c r="L2" i="22"/>
  <c r="L52" i="21"/>
  <c r="L51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L37" i="21"/>
  <c r="L36" i="21"/>
  <c r="L35" i="21"/>
  <c r="L34" i="21"/>
  <c r="L33" i="21"/>
  <c r="L32" i="21"/>
  <c r="L31" i="21"/>
  <c r="L30" i="21"/>
  <c r="L29" i="21"/>
  <c r="L28" i="21"/>
  <c r="L27" i="21"/>
  <c r="L26" i="21"/>
  <c r="L25" i="21"/>
  <c r="L24" i="21"/>
  <c r="L23" i="21"/>
  <c r="L22" i="21"/>
  <c r="L21" i="21"/>
  <c r="L20" i="21"/>
  <c r="L19" i="21"/>
  <c r="L18" i="21"/>
  <c r="L17" i="21"/>
  <c r="L16" i="21"/>
  <c r="L15" i="21"/>
  <c r="L14" i="21"/>
  <c r="L13" i="21"/>
  <c r="L12" i="21"/>
  <c r="L11" i="21"/>
  <c r="L10" i="21"/>
  <c r="L9" i="21"/>
  <c r="L8" i="21"/>
  <c r="L7" i="21"/>
  <c r="L6" i="21"/>
  <c r="L5" i="21"/>
  <c r="L4" i="21"/>
  <c r="L3" i="21"/>
  <c r="L2" i="21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" i="20"/>
  <c r="O3" i="20"/>
  <c r="O2" i="20"/>
  <c r="L115" i="19"/>
  <c r="L114" i="19"/>
  <c r="L113" i="19"/>
  <c r="L112" i="19"/>
  <c r="L111" i="19"/>
  <c r="L110" i="19"/>
  <c r="L109" i="19"/>
  <c r="L108" i="19"/>
  <c r="L107" i="19"/>
  <c r="L106" i="19"/>
  <c r="L105" i="19"/>
  <c r="L104" i="19"/>
  <c r="L103" i="19"/>
  <c r="L102" i="19"/>
  <c r="L101" i="19"/>
  <c r="L100" i="19"/>
  <c r="L99" i="19"/>
  <c r="L98" i="19"/>
  <c r="L97" i="19"/>
  <c r="L96" i="19"/>
  <c r="L95" i="19"/>
  <c r="L94" i="19"/>
  <c r="L93" i="19"/>
  <c r="L92" i="19"/>
  <c r="L91" i="19"/>
  <c r="L90" i="19"/>
  <c r="L89" i="19"/>
  <c r="L88" i="19"/>
  <c r="L87" i="19"/>
  <c r="L86" i="19"/>
  <c r="L85" i="19"/>
  <c r="L84" i="19"/>
  <c r="L83" i="19"/>
  <c r="L82" i="19"/>
  <c r="L81" i="19"/>
  <c r="L80" i="19"/>
  <c r="L79" i="19"/>
  <c r="L78" i="19"/>
  <c r="L77" i="19"/>
  <c r="L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8" i="19"/>
  <c r="L47" i="19"/>
  <c r="L46" i="19"/>
  <c r="L45" i="19"/>
  <c r="L44" i="19"/>
  <c r="L43" i="19"/>
  <c r="L42" i="19"/>
  <c r="L41" i="19"/>
  <c r="L40" i="19"/>
  <c r="L39" i="19"/>
  <c r="L38" i="19"/>
  <c r="L37" i="19"/>
  <c r="L36" i="19"/>
  <c r="L35" i="19"/>
  <c r="L34" i="19"/>
  <c r="L33" i="19"/>
  <c r="L32" i="19"/>
  <c r="L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6" i="19"/>
  <c r="L5" i="19"/>
  <c r="L4" i="19"/>
  <c r="L3" i="19"/>
  <c r="L2" i="19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2" i="18"/>
  <c r="L43" i="17"/>
  <c r="L42" i="17"/>
  <c r="L41" i="17"/>
  <c r="L40" i="17"/>
  <c r="L39" i="17"/>
  <c r="L38" i="17"/>
  <c r="L37" i="17"/>
  <c r="L36" i="17"/>
  <c r="L35" i="17"/>
  <c r="L34" i="17"/>
  <c r="L33" i="17"/>
  <c r="L32" i="17"/>
  <c r="L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L4" i="17"/>
  <c r="L3" i="17"/>
  <c r="L2" i="17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R2" i="16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" i="15"/>
  <c r="L60" i="14"/>
  <c r="L59" i="14"/>
  <c r="L58" i="14"/>
  <c r="L57" i="14"/>
  <c r="L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4" i="14"/>
  <c r="L3" i="14"/>
  <c r="L2" i="14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4" i="13"/>
  <c r="L3" i="13"/>
  <c r="L2" i="13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4" i="12"/>
  <c r="L3" i="12"/>
  <c r="L2" i="12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L2" i="9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2" i="7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<sst xmlns="http://schemas.openxmlformats.org/spreadsheetml/2006/main" count="9019" uniqueCount="3549">
  <si>
    <t>Martha Stewart Collection Chenille Medallion Standard Sh Ivory Standard Sham</t>
  </si>
  <si>
    <t>848405033137</t>
  </si>
  <si>
    <t>Mainstream International Inc. Sonata Cotton 16 x 26 Hand T Pink No Size</t>
  </si>
  <si>
    <t>MACLSC194104</t>
  </si>
  <si>
    <t>COMFORTER AND SHAMS: POLYESTER; BEDSKIRT DROP: COTTON; BEDSKIRT PLATFORM: POLYESTER; DECORATIVE PILLOWS: COTTON; POLYESTER FILL; COMFORTER FILL: POLYESTER 270 GRAMS PER SQUARE METER; BEDSKIRT AND DECORATIVE PILLOW THREAD COUNT: 180</t>
  </si>
  <si>
    <t>706795738752</t>
  </si>
  <si>
    <t>Exclusive Fabrics Furnishing Exclusive Fabrics Furnishing Medium Pur 50 x 108</t>
  </si>
  <si>
    <t>PDCH-KBS11BO-108</t>
  </si>
  <si>
    <t>EXCLUSIVE FABRICS &amp; FURNISHINGS LLC</t>
  </si>
  <si>
    <t>675716740665</t>
  </si>
  <si>
    <t>Madison Park Lola 6-Pc. FullQueen Duvet Co Aqua FullQueen</t>
  </si>
  <si>
    <t>MP12-2642</t>
  </si>
  <si>
    <t>DUVET COVER/SHAM: COTTON, REVERSES TO COTTON/POLYESTER; THREAD COUNT: 200, REVERSES TO 180; PILLOW: COTTON/POLYESTER; PILLOW FILL: POLYESTER</t>
  </si>
  <si>
    <t>675716986278</t>
  </si>
  <si>
    <t>Woolrich Teton 3-Pc. Reversible Faux-Fu Ivory FullQueen</t>
  </si>
  <si>
    <t>WR13-2057</t>
  </si>
  <si>
    <t>675716784249</t>
  </si>
  <si>
    <t>Madison Park Palisades 6-Pc. FullQueen Duv Blue FullQueen</t>
  </si>
  <si>
    <t>MP12-3060</t>
  </si>
  <si>
    <t>DUVET COVER/SHAM/PILLOW: POLYESTER; PILLOW FILL: POLYESTER</t>
  </si>
  <si>
    <t>Intelligent Design Benny 5-Pc. FullQueen Comfort White FullQueen</t>
  </si>
  <si>
    <t>848742091982</t>
  </si>
  <si>
    <t>Lush Decor Avon Trellis 38 x 84 Sheer C White 38x84</t>
  </si>
  <si>
    <t>16T004777</t>
  </si>
  <si>
    <t>64247009769</t>
  </si>
  <si>
    <t>Exclusive Home Exclusive Home Penny Sheer Gro Winter White 50x108</t>
  </si>
  <si>
    <t>EH8043-50X108</t>
  </si>
  <si>
    <t>841643118420</t>
  </si>
  <si>
    <t>kensie Maddie 38 x 96 Metallic Blac Mouse ONE SIZE</t>
  </si>
  <si>
    <t>MADDIE13460D-12</t>
  </si>
  <si>
    <t>86569005625</t>
  </si>
  <si>
    <t>Intelligent Design Raina 5-Pc. FullQueen Duvet C BlushGold FullQueen</t>
  </si>
  <si>
    <t>ID12-1400</t>
  </si>
  <si>
    <t>783048021335</t>
  </si>
  <si>
    <t>Truly Soft Truly Soft Pleated White Full Ivory FullQueen</t>
  </si>
  <si>
    <t>DCS1969IVFQ-18</t>
  </si>
  <si>
    <t>783048024206</t>
  </si>
  <si>
    <t>Truly Soft Truly Soft Everyday Red and Gr Orange And Navy TwinTwin XL</t>
  </si>
  <si>
    <t>CS1656ONTX-17</t>
  </si>
  <si>
    <t>ALL MICROFIBER FACE AND BACK. FILLED WITH 100% HYPOALLERGENIC POLYESTER.</t>
  </si>
  <si>
    <t>746885357005</t>
  </si>
  <si>
    <t>Miller Curtains Aria 51 x 84 Panel Sage 51x84</t>
  </si>
  <si>
    <t>MC00X70608684</t>
  </si>
  <si>
    <t>655385015585</t>
  </si>
  <si>
    <t>Elite Home 3 pc King Luxury Satin Reversi Red King</t>
  </si>
  <si>
    <t>MICCSKG001LSRCS</t>
  </si>
  <si>
    <t>ELITE HOME PRODUCTS INC</t>
  </si>
  <si>
    <t>746885385671</t>
  </si>
  <si>
    <t>Miller Curtains Kailey 50 x 108 Grommet Pane NaturalSilver 50x108</t>
  </si>
  <si>
    <t>MCKO691062108</t>
  </si>
  <si>
    <t>POLYESTER/LINEN</t>
  </si>
  <si>
    <t>735732845482</t>
  </si>
  <si>
    <t>VCNY Home Sky Geo 2PC Twin XL Duvet Cove Multi Twin XL</t>
  </si>
  <si>
    <t>SKY-2DV-TWXT-IN-MULT</t>
  </si>
  <si>
    <t>675716802257</t>
  </si>
  <si>
    <t>Madison Park Elma Oversized Reversible 60 Blue 60x70</t>
  </si>
  <si>
    <t>MP50-3254</t>
  </si>
  <si>
    <t>726895380118</t>
  </si>
  <si>
    <t>Hotel Collection Plume Standard Sham White Standard Sham</t>
  </si>
  <si>
    <t>1001530SD</t>
  </si>
  <si>
    <t>646998620174</t>
  </si>
  <si>
    <t>CHF Soho Voile Grommet 59 x 132 Winter White 59x132</t>
  </si>
  <si>
    <t>1-804303WI</t>
  </si>
  <si>
    <t>TRCTN82X54</t>
  </si>
  <si>
    <t>86569103765</t>
  </si>
  <si>
    <t>Urban Habitat Bond Fret 14-Pc. Bath Set Brown</t>
  </si>
  <si>
    <t>MCH70-944</t>
  </si>
  <si>
    <t>40773087426</t>
  </si>
  <si>
    <t>Martha Stewart Collection Marled 24 Round Bath Rug Morning Dove Combo 24x24</t>
  </si>
  <si>
    <t>54006631423</t>
  </si>
  <si>
    <t>Achim Ombre 50x63 SS Blue 50x63</t>
  </si>
  <si>
    <t>OMTU63BL06</t>
  </si>
  <si>
    <t>80166182338</t>
  </si>
  <si>
    <t>Bacova Cashlon Venice 20 x 32 Accen Grey</t>
  </si>
  <si>
    <t>MICRO POLYESTER</t>
  </si>
  <si>
    <t>734737561366</t>
  </si>
  <si>
    <t>Sunham Cher 2-Pc. Plaid Bath Rug Set Gray</t>
  </si>
  <si>
    <t>R18937BN1252PCSET</t>
  </si>
  <si>
    <t>POLYESTER; LATEX BACKING</t>
  </si>
  <si>
    <t>29927435658</t>
  </si>
  <si>
    <t>Sun Zero Sun Zero Grant Pole Top 54 x Steel 54x84</t>
  </si>
  <si>
    <t>86569111166</t>
  </si>
  <si>
    <t>JLA Home Sanibel 72 x 72 Faux-Linen S Blue 72X72</t>
  </si>
  <si>
    <t>MCH70-981</t>
  </si>
  <si>
    <t>POLYESTER 135GSM</t>
  </si>
  <si>
    <t>96675210035</t>
  </si>
  <si>
    <t>SensorPEDIC On-The-Go Gel-Infused Memory F White ONE SIZE</t>
  </si>
  <si>
    <t>FABRIC: POLYESTER; FILL: MEMORY FOAM</t>
  </si>
  <si>
    <t>846216043055</t>
  </si>
  <si>
    <t>Trend Lab Buffalo Check Flannel Swaddle</t>
  </si>
  <si>
    <t>TREND LAB LLC</t>
  </si>
  <si>
    <t>726895920673</t>
  </si>
  <si>
    <t>Charter Club Down Alternative Medium King P White King</t>
  </si>
  <si>
    <t>100058667KG</t>
  </si>
  <si>
    <t>726895920024</t>
  </si>
  <si>
    <t>Charter Club Down Alternative Firm King Pil King</t>
  </si>
  <si>
    <t>100058673KG</t>
  </si>
  <si>
    <t>86569157904</t>
  </si>
  <si>
    <t>JLA Home Genevieve Lotion Pump Grey No Size</t>
  </si>
  <si>
    <t>MCH71-1108</t>
  </si>
  <si>
    <t>86569157928</t>
  </si>
  <si>
    <t>JLA Home Genevieve Toothbrush Holder Grey No Size</t>
  </si>
  <si>
    <t>MCH71-1109</t>
  </si>
  <si>
    <t>99446736994</t>
  </si>
  <si>
    <t>Nourison Peanuts Pumpkin 18 x 30 Acce Black No Size</t>
  </si>
  <si>
    <t>PNT1PJT31BLK018030</t>
  </si>
  <si>
    <t>99446740632</t>
  </si>
  <si>
    <t>Nourison Cornucopia Pumpkin 18 x 30 A Rust No Size</t>
  </si>
  <si>
    <t>ACCE063JPRUST018030</t>
  </si>
  <si>
    <t>99446740649</t>
  </si>
  <si>
    <t>Nourison Black Pumpkin 18 x 30 Accent Black No Size</t>
  </si>
  <si>
    <t>ACCE031JPBLK018030</t>
  </si>
  <si>
    <t>81806448951</t>
  </si>
  <si>
    <t>Hudson Hill Ransom 50 x 84 Grommet Windo Blue 50x84</t>
  </si>
  <si>
    <t>FZR02KKB2MLT</t>
  </si>
  <si>
    <t>81806449255</t>
  </si>
  <si>
    <t>Hudson Hill Jovie 50 x 84 Rod Pocket Win Blush 50x84</t>
  </si>
  <si>
    <t>FZR02KNB2BLH</t>
  </si>
  <si>
    <t>BRGHT PINK</t>
  </si>
  <si>
    <t>FABRIC: POLYESTER/LINEN</t>
  </si>
  <si>
    <t>746885369664</t>
  </si>
  <si>
    <t>Miller Curtains Miller Curtains Angelica Volie Ivory 59x84</t>
  </si>
  <si>
    <t>WC70348122684</t>
  </si>
  <si>
    <t>791551522508</t>
  </si>
  <si>
    <t>Berkshire Intellisense King Electric Bla Chateau Grey King</t>
  </si>
  <si>
    <t>E3507-KG-64K</t>
  </si>
  <si>
    <t>718498108756</t>
  </si>
  <si>
    <t>Shavel Reversible Micro Flannel to Toile Wedgewood Queen</t>
  </si>
  <si>
    <t>EBSHQNTOW</t>
  </si>
  <si>
    <t>608356772178</t>
  </si>
  <si>
    <t>Martha Stewart Collection Tufted Velvet King Quilt Red King</t>
  </si>
  <si>
    <t>SQUARERDKG</t>
  </si>
  <si>
    <t>652267735074</t>
  </si>
  <si>
    <t>Puredown Puredown 3 Piece Comforter Set White Queen</t>
  </si>
  <si>
    <t>PD 16045 Q</t>
  </si>
  <si>
    <t>SHELL - 100 % COTTON, STUFFING - 100 % POLYESTER</t>
  </si>
  <si>
    <t>675716809591</t>
  </si>
  <si>
    <t>Madison Park Madison Park Harper Velvet 3-P Navy FullQueen</t>
  </si>
  <si>
    <t>MP13-3303</t>
  </si>
  <si>
    <t>718498210640</t>
  </si>
  <si>
    <t>Shavel Microflannel Printed King Shee Cardinals King</t>
  </si>
  <si>
    <t>MFNSSKGCAR</t>
  </si>
  <si>
    <t>706258364962</t>
  </si>
  <si>
    <t>Charter Club Damask Designs 2-Pc. Poppy Pat Poppy Twin</t>
  </si>
  <si>
    <t>DCTWSCLPOP</t>
  </si>
  <si>
    <t>86569294173</t>
  </si>
  <si>
    <t>Madison Park Essentials Madison Park Essentials Dalton GrayCharcoal Queen</t>
  </si>
  <si>
    <t>MPE10-851</t>
  </si>
  <si>
    <t>86569068705</t>
  </si>
  <si>
    <t>Intelligent Design Intelligent Design Lorna Queen Gray Queen</t>
  </si>
  <si>
    <t>ID10-1579</t>
  </si>
  <si>
    <t>COMFORTER/SHAM/DECORATIVE PILLOW/SHEET SET - 75GSM 100% POLYESTER BRUSHED MICROFIBER, COMFORTER/DECORATIVE PILLOW FILL - 100% POLYESTER</t>
  </si>
  <si>
    <t>675716867614</t>
  </si>
  <si>
    <t>Madison Park Quebec 6-Pc. Daybed Bedding Se Khaki Daybed</t>
  </si>
  <si>
    <t>MP13-3977</t>
  </si>
  <si>
    <t>DAYBED COVER/SHAM/PILLOW SHELL/BEDSKIRT: POLYESTER; DAYBED COVER FILL: COTTON/POLYESTER/OLEFIN/OTHER FIBERS; PILLOW FILL: POLYESTER</t>
  </si>
  <si>
    <t>675716643591</t>
  </si>
  <si>
    <t>Intelligent Design Senna 5-Pc. Reversible FullQu Aqua FullQueen</t>
  </si>
  <si>
    <t>ID10-417</t>
  </si>
  <si>
    <t>811098031216</t>
  </si>
  <si>
    <t>Puredown Puredown Down Alternative Comf White FullQueen</t>
  </si>
  <si>
    <t>PD 16027 F Q</t>
  </si>
  <si>
    <t>SHELL AND STUFFING - 100 % POLYESTER</t>
  </si>
  <si>
    <t>675716534691</t>
  </si>
  <si>
    <t>Mi Zone Morgan 3-Pc. TwinTwin XL Comf Purple TwinTwin XL</t>
  </si>
  <si>
    <t>MZ10-231</t>
  </si>
  <si>
    <t>COMFORTER/SHAM/PILLOW COVER: POLYESTER; COMFORTER/PILLOW FILL: POLYESTER</t>
  </si>
  <si>
    <t>86569002136</t>
  </si>
  <si>
    <t>Intelligent Design Loretta 7-Pc. Twin Comforter S Navy Twin</t>
  </si>
  <si>
    <t>ID10-1374</t>
  </si>
  <si>
    <t>732994215947</t>
  </si>
  <si>
    <t>Charter Club Damask Designs Tile Geo 300-Th Horizon FullQueen</t>
  </si>
  <si>
    <t>100023138FQ</t>
  </si>
  <si>
    <t>FABRIC: COTTON; THREAD COUNT: 300</t>
  </si>
  <si>
    <t>96675171497</t>
  </si>
  <si>
    <t>SensorGel Cooling Gel Memory Foam Bed We White No Size</t>
  </si>
  <si>
    <t>COVER: POLYESTER; FILL: MEMORY FOAM</t>
  </si>
  <si>
    <t>675716981891</t>
  </si>
  <si>
    <t>Madison Park Hayden Reversible 3-Pc. FullQ Grey FullQueen</t>
  </si>
  <si>
    <t>MPE10-565</t>
  </si>
  <si>
    <t>Intelligent Design Adel 50x84 Printed Blackout W Yellow 50x84</t>
  </si>
  <si>
    <t>675716617622</t>
  </si>
  <si>
    <t>Madison Park Aubrey Paisley Jacquard 20 Sq Black 20x20</t>
  </si>
  <si>
    <t>MP30-1538</t>
  </si>
  <si>
    <t>96675467460</t>
  </si>
  <si>
    <t>SensorPEDIC 2 Pack SofLOFT Firm Density Pi White King</t>
  </si>
  <si>
    <t>194382102046</t>
  </si>
  <si>
    <t>Nautica Nautica Kids Sailboat Decorati Blue</t>
  </si>
  <si>
    <t>NDP</t>
  </si>
  <si>
    <t>BRIGHTBLUE</t>
  </si>
  <si>
    <t>NAUTICA/JBL TRADING LLC</t>
  </si>
  <si>
    <t>COTTON BLEND</t>
  </si>
  <si>
    <t>735732187568</t>
  </si>
  <si>
    <t>VCNY Home Amadora Quatrefoil 24 x 60 M Taupe ONE SIZE</t>
  </si>
  <si>
    <t>AM4-RUN-2460-GP-TAUP</t>
  </si>
  <si>
    <t>800014164428</t>
  </si>
  <si>
    <t>Ellison First Asia Leopard Reversible 3-Pc. Mini Black And White Twin</t>
  </si>
  <si>
    <t>23441901CMSBGL</t>
  </si>
  <si>
    <t>675716932718</t>
  </si>
  <si>
    <t>Madison Park Brooklyn 50 x 63 Grommet Top Spice 50x63</t>
  </si>
  <si>
    <t>MP40-4362</t>
  </si>
  <si>
    <t>MED ORANGE</t>
  </si>
  <si>
    <t>783048998538</t>
  </si>
  <si>
    <t>Truly Soft Truly Soft Everyday White Full Navy FullQueen</t>
  </si>
  <si>
    <t>DCS1657NVQ-1800</t>
  </si>
  <si>
    <t>732994552998</t>
  </si>
  <si>
    <t>Martha Stewart Collection Very Merry Embroidered Cotton White Combo</t>
  </si>
  <si>
    <t>732994553001</t>
  </si>
  <si>
    <t>Martha Stewart Collection Cardinal Embroidered Cotton Ba White Combo</t>
  </si>
  <si>
    <t>54006621974</t>
  </si>
  <si>
    <t>Achim Ombre 46x42 SS Autumn ONE SIZE</t>
  </si>
  <si>
    <t>OMWFVLAT06</t>
  </si>
  <si>
    <t>54006622087</t>
  </si>
  <si>
    <t>Achim Ombre 46x42 SS Sandstone ONE SIZE</t>
  </si>
  <si>
    <t>OMWFVLSS06</t>
  </si>
  <si>
    <t>21864376704</t>
  </si>
  <si>
    <t>Avanti Avanti Let It Snow Bath Towel White</t>
  </si>
  <si>
    <t>033211WHT</t>
  </si>
  <si>
    <t>100% COTTON EXCLUSIVE OF EMBELLISHMENT</t>
  </si>
  <si>
    <t>85214108568</t>
  </si>
  <si>
    <t>Carters Cotton Sateen Fitted Crib Shee Animal</t>
  </si>
  <si>
    <t>Martha Stewart Collection Box Plaid Reversible Yarn-Dyed Grey Standard Sham</t>
  </si>
  <si>
    <t>732994552929</t>
  </si>
  <si>
    <t>Martha Stewart Collection Cardinal Embroidered Cotton Ha White Combo</t>
  </si>
  <si>
    <t>732994552936</t>
  </si>
  <si>
    <t>SensorPEDIC SensorPEDIC Microshield Jumbo White Queen</t>
  </si>
  <si>
    <t>646760109586</t>
  </si>
  <si>
    <t>French Connection Cotton Textured Wash Towel White No Size</t>
  </si>
  <si>
    <t>MAT000047</t>
  </si>
  <si>
    <t>886087346183</t>
  </si>
  <si>
    <t>KING COVERLE BASIC</t>
  </si>
  <si>
    <t>675716942540</t>
  </si>
  <si>
    <t>Madison Park Essentials Essentials Joella California K Ivory California King</t>
  </si>
  <si>
    <t>MPE10-481</t>
  </si>
  <si>
    <t>COMFORTER/SHAM/BEDSKIRT/EUROPEAN SHAM/PILLOW COVER/WINDOW PANELS/TIEBACKS/WINDOW VALANCE: POLYESTER; SHEET SET: POLYESTER 85 GRAMS PER SQUARE METER; COMFORTER FILL: POLYESTER 270 GRAMS PER SQUARE METER; PILLOW: POLYESTER FILL</t>
  </si>
  <si>
    <t>635983499734</t>
  </si>
  <si>
    <t>Ella Jayne Overstuffed Plush MediumFirm White King</t>
  </si>
  <si>
    <t>BMI10192L4K</t>
  </si>
  <si>
    <t>86569174789</t>
  </si>
  <si>
    <t>Madison Park Cassandra Queen 8 Piece Cotton Blush Queen</t>
  </si>
  <si>
    <t>MP10-6164</t>
  </si>
  <si>
    <t>COMFORTER/SHAM: COTTON FACE, COTTON/POLYESTER BACK; COMFORTER WITH POLYESTER FILLING; DECORATIVE PILLOW: POLYESTER/COTTON COVER WITH POLYESTER FILLING; BEDSKIRT/EURO SHAM: POLYESTER/COTTON</t>
  </si>
  <si>
    <t>886087121568</t>
  </si>
  <si>
    <t>624 SATEEN BASIC</t>
  </si>
  <si>
    <t>65019447382A</t>
  </si>
  <si>
    <t>KING FLAT</t>
  </si>
  <si>
    <t>886087165357</t>
  </si>
  <si>
    <t>CALKJUMBOF</t>
  </si>
  <si>
    <t>886087308983</t>
  </si>
  <si>
    <t>KGJUMBOFIT</t>
  </si>
  <si>
    <t>886087308976</t>
  </si>
  <si>
    <t>886087121865</t>
  </si>
  <si>
    <t>650194477N2E</t>
  </si>
  <si>
    <t>KGBOTTOMFT</t>
  </si>
  <si>
    <t>886087308990</t>
  </si>
  <si>
    <t>886087384147</t>
  </si>
  <si>
    <t>KG FLT SHT BASIC</t>
  </si>
  <si>
    <t>886087121926</t>
  </si>
  <si>
    <t>650194478E0F</t>
  </si>
  <si>
    <t>CALKBTTMFT</t>
  </si>
  <si>
    <t>886087121582</t>
  </si>
  <si>
    <t>650194473N2E</t>
  </si>
  <si>
    <t>624-THREAD COUNT COTTON SATEEN SATEEN</t>
  </si>
  <si>
    <t>886087121575</t>
  </si>
  <si>
    <t>650194473E0F</t>
  </si>
  <si>
    <t>886087148091</t>
  </si>
  <si>
    <t>675716684136</t>
  </si>
  <si>
    <t>Madison Park Madison Park Pure Ronan KingC Blue KingCalifornia King</t>
  </si>
  <si>
    <t>MPP13-050</t>
  </si>
  <si>
    <t>COVERLET/SHAM/DECORATIVE PILLOW - 100% COTTON PERCALE, PRINTED COVERLET FILL - 250GSM COTTON DECORATIVE PILLOW FILL - 100% POLYESTER</t>
  </si>
  <si>
    <t>675716515577</t>
  </si>
  <si>
    <t>Madison Park Carter 7-Pc. Queen Comforter S BlueGreen Queen</t>
  </si>
  <si>
    <t>MP10-846</t>
  </si>
  <si>
    <t>675716906511</t>
  </si>
  <si>
    <t>Madison Park Essentials Central Park 9-Pc. YellowAqua King</t>
  </si>
  <si>
    <t>MPE10-389</t>
  </si>
  <si>
    <t>814740020132</t>
  </si>
  <si>
    <t>Nanshing Nanshing Reina 7 PC Comforter Blue Queen</t>
  </si>
  <si>
    <t>REINA7-Q</t>
  </si>
  <si>
    <t>886087121490</t>
  </si>
  <si>
    <t>65019447282A</t>
  </si>
  <si>
    <t>886087308952</t>
  </si>
  <si>
    <t>886087278330</t>
  </si>
  <si>
    <t>886087278361</t>
  </si>
  <si>
    <t>886087278354</t>
  </si>
  <si>
    <t>886087346374</t>
  </si>
  <si>
    <t>EURO SHAM BASIC</t>
  </si>
  <si>
    <t>886087121773</t>
  </si>
  <si>
    <t>65019447682A</t>
  </si>
  <si>
    <t>QNBOTTOMFT</t>
  </si>
  <si>
    <t>783048057792</t>
  </si>
  <si>
    <t>Style 212 Style 212 Carlyle 12 Piece Bed Grey Queen</t>
  </si>
  <si>
    <t>BIB2706GYQN-00</t>
  </si>
  <si>
    <t>886087122282</t>
  </si>
  <si>
    <t>LANGDON SOLID BASIC</t>
  </si>
  <si>
    <t>650194485N2E</t>
  </si>
  <si>
    <t>886087277890</t>
  </si>
  <si>
    <t>STANDARD</t>
  </si>
  <si>
    <t>886087308945</t>
  </si>
  <si>
    <t>86569171269</t>
  </si>
  <si>
    <t>Madison Park Amaya FullQueen 3 Piece Cotto Ivory FullQueen</t>
  </si>
  <si>
    <t>MP12-6161</t>
  </si>
  <si>
    <t>DUVET COVER/SHAM: 100% COTTON SEERSUCKER WITH TASSELS, 100% COTTON REVERSE</t>
  </si>
  <si>
    <t>86569004871</t>
  </si>
  <si>
    <t>JLA Home 510 Design Ramsey California K Neutral California King</t>
  </si>
  <si>
    <t>5DS10-0049</t>
  </si>
  <si>
    <t>726895721614</t>
  </si>
  <si>
    <t>Charter Club Sleep Cool 400-Thread Count 4- Graphite Dark Grey King</t>
  </si>
  <si>
    <t>10011969KG</t>
  </si>
  <si>
    <t>COTTON/TENCEL® LYOCELL</t>
  </si>
  <si>
    <t>886087121209</t>
  </si>
  <si>
    <t>6501944646JT</t>
  </si>
  <si>
    <t>886087308938</t>
  </si>
  <si>
    <t>886087346510</t>
  </si>
  <si>
    <t>20X20 TP BASIC</t>
  </si>
  <si>
    <t>COVER: COTTON SATEEN/POLYESTER; FILL: FEATHERS/DOWN</t>
  </si>
  <si>
    <t>886087146196</t>
  </si>
  <si>
    <t>191790006478</t>
  </si>
  <si>
    <t>AQ Textiles Surrey Cotton 650-Thread Count Grey Queen</t>
  </si>
  <si>
    <t>21752103082AQT</t>
  </si>
  <si>
    <t>191790006416</t>
  </si>
  <si>
    <t>AQ Textiles Surrey Cotton 650-Thread Count White Queen</t>
  </si>
  <si>
    <t>21752103001AQT</t>
  </si>
  <si>
    <t>842164002038</t>
  </si>
  <si>
    <t>Fairfield Square Collection Essex Sateen 1200-Thread Count Tan Queen</t>
  </si>
  <si>
    <t>20112103284AQT</t>
  </si>
  <si>
    <t>64247007512</t>
  </si>
  <si>
    <t>Exclusive Home Exclusive Home Akola Medallion Dove Gray 54x96</t>
  </si>
  <si>
    <t>EH7918-54X96</t>
  </si>
  <si>
    <t>706258549406</t>
  </si>
  <si>
    <t>Martha Stewart Collection Cotton Percale 400-Thread Coun Maize Queen</t>
  </si>
  <si>
    <t>T4PRQNSAMM</t>
  </si>
  <si>
    <t>191790011007</t>
  </si>
  <si>
    <t>AQ Textiles Monroe 1000-Thead Count 4-Pc. White King</t>
  </si>
  <si>
    <t>22152104001AQT</t>
  </si>
  <si>
    <t>734737490857</t>
  </si>
  <si>
    <t>Sunham Cotton 400 Thread Count 4-Pc. Navy King</t>
  </si>
  <si>
    <t>734737490932</t>
  </si>
  <si>
    <t>Sunham Cotton 400 Thread Count 4-Pc. Wine King</t>
  </si>
  <si>
    <t>BRIGHT RED</t>
  </si>
  <si>
    <t>886087284805</t>
  </si>
  <si>
    <t>12X16</t>
  </si>
  <si>
    <t>COTTON/SATEEN</t>
  </si>
  <si>
    <t>675716674908</t>
  </si>
  <si>
    <t>Sleep Philosophy Peyton Reversible 3-Pc. FullQ Navy FullQueen</t>
  </si>
  <si>
    <t>BASI10-0349</t>
  </si>
  <si>
    <t>64247007338</t>
  </si>
  <si>
    <t>Exclusive Home Exclusive Home Akola Medallion Natural 54x84</t>
  </si>
  <si>
    <t>EH7918-54X84</t>
  </si>
  <si>
    <t>191790011526</t>
  </si>
  <si>
    <t>AQ Textiles Grayson 950-Thread Count 4-Pc. Ivory King</t>
  </si>
  <si>
    <t>22202104003AQT</t>
  </si>
  <si>
    <t>783048021366</t>
  </si>
  <si>
    <t>Truly Soft Truly Soft Pleated White Full Grey FullQueen</t>
  </si>
  <si>
    <t>CS1969GYFQ-1500</t>
  </si>
  <si>
    <t>COMFORTER AND SHAM FACE AND BACK CLOTH IS 100% BRUSHED MICROFIBER POLYESTER WITH POLYESTER FILLING.</t>
  </si>
  <si>
    <t>191790011953</t>
  </si>
  <si>
    <t>AQ Textiles Monroe 1000-Thead Count 4-Pc. Linen Queen</t>
  </si>
  <si>
    <t>22152103021AQT</t>
  </si>
  <si>
    <t>191790011977</t>
  </si>
  <si>
    <t>AQ Textiles Monroe 1000-Thead Count 4-Pc. Grey Queen</t>
  </si>
  <si>
    <t>22152103082AQT</t>
  </si>
  <si>
    <t>86569065711</t>
  </si>
  <si>
    <t>Intelligent Design Rudy 5-Pc. Plaid FullQueen Co Black FullQueen</t>
  </si>
  <si>
    <t>ID10-1330</t>
  </si>
  <si>
    <t>86569094735</t>
  </si>
  <si>
    <t>JLA Home Dusty The Dino 50 x 84 Total Multi ONE SIZE</t>
  </si>
  <si>
    <t>MCH40-823</t>
  </si>
  <si>
    <t>POLYESTER; LINING: POLYESTER/RAYON</t>
  </si>
  <si>
    <t>86569095336</t>
  </si>
  <si>
    <t>JLA Home Urban Dreams Bed Canopy White ONE SIZE</t>
  </si>
  <si>
    <t>MCH44-824</t>
  </si>
  <si>
    <t>847636024020</t>
  </si>
  <si>
    <t>Mytex Team Sport 4-Pc. Full Comforte PinkSpa Full</t>
  </si>
  <si>
    <t>840008316891</t>
  </si>
  <si>
    <t>Linenspa Signature CollectionZipTig White King</t>
  </si>
  <si>
    <t>LSSC1PKKEP</t>
  </si>
  <si>
    <t>AQ Textiles Grayson 950-Thread Count 4-Pc. Ivory Queen</t>
  </si>
  <si>
    <t>86569069504</t>
  </si>
  <si>
    <t>Martha Stewart Collection Down Alternative Reverse to Pl Black Iris King</t>
  </si>
  <si>
    <t>734737563285</t>
  </si>
  <si>
    <t>Sunham Emory 420-Thread Count 4-Pc. K Pink King</t>
  </si>
  <si>
    <t>Sunham Emory 420-Thread Count 4-Pc. K Grey King</t>
  </si>
  <si>
    <t>Sunham Norvara 500-Thread Count 6-Pc. Mauve King</t>
  </si>
  <si>
    <t>32281245733</t>
  </si>
  <si>
    <t>Disney Disney Frozen Swirl Twin Comfo Blue Twin</t>
  </si>
  <si>
    <t>JF24573ML</t>
  </si>
  <si>
    <t>849657029565</t>
  </si>
  <si>
    <t>Rod Desyne Arman 1316 Curtain Rod 28-4 Satin Nickel 28-48in</t>
  </si>
  <si>
    <t>4884-285</t>
  </si>
  <si>
    <t>846339078675</t>
  </si>
  <si>
    <t>J Queen New York Raffaella Graphite 18 Square Graphite</t>
  </si>
  <si>
    <t>220810218SQ</t>
  </si>
  <si>
    <t>734737563247</t>
  </si>
  <si>
    <t>Sunham Emory 420-Thread Count 4-Pc. Q Blue Queen</t>
  </si>
  <si>
    <t>734737563216</t>
  </si>
  <si>
    <t>Sunham Emory 420-Thread Count 4-Pc. Q Grey Queen</t>
  </si>
  <si>
    <t>734737563308</t>
  </si>
  <si>
    <t>Sunham Emory 420-Thread Count 4-Pc. Q Green Queen</t>
  </si>
  <si>
    <t>191790006782</t>
  </si>
  <si>
    <t>AQ Textiles York NuPercale 600-Thread Coun Blue Queen</t>
  </si>
  <si>
    <t>70802103002AQT</t>
  </si>
  <si>
    <t>734737508934</t>
  </si>
  <si>
    <t>Sunham Sorrento Print 500-Thread Coun Taupe Queen</t>
  </si>
  <si>
    <t>FABRIC: COTTON/POLYESTER</t>
  </si>
  <si>
    <t>83013945711</t>
  </si>
  <si>
    <t>Croscill Croscill Galleria European Sha Red Multi</t>
  </si>
  <si>
    <t>2A0-502O0-6405</t>
  </si>
  <si>
    <t>734737571990</t>
  </si>
  <si>
    <t>Sunham Bari 350-Thread Count 4-Pc. So Mint Printed King</t>
  </si>
  <si>
    <t>734737571969</t>
  </si>
  <si>
    <t>Sunham Bari 350-Thread Count 4-Pc. So Purple Printed King</t>
  </si>
  <si>
    <t>718498908875</t>
  </si>
  <si>
    <t>Shavel Micro Flannel Amethyst All S Frosted Rose FullQueen</t>
  </si>
  <si>
    <t>MFNBKFQFRO</t>
  </si>
  <si>
    <t>86569902955</t>
  </si>
  <si>
    <t>SunSmart Mirage 50 x 95 Damask Total Charcoal 50x95</t>
  </si>
  <si>
    <t>SS40-0020</t>
  </si>
  <si>
    <t>SHELL: POLYESTER;</t>
  </si>
  <si>
    <t>32281245757</t>
  </si>
  <si>
    <t>Disney Disney Frozen 3 Piece Twin She White Twin</t>
  </si>
  <si>
    <t>JF24575ML</t>
  </si>
  <si>
    <t>726895980691</t>
  </si>
  <si>
    <t>Hotel Collection Honeycomb King Sham Oatmeal King Sham</t>
  </si>
  <si>
    <t>100019681KG</t>
  </si>
  <si>
    <t>FRONT: LINEN; BACK: COTTON</t>
  </si>
  <si>
    <t>734737536500</t>
  </si>
  <si>
    <t>Sunham Bari 350-Thread Count 4-Pc. So Mint Queen</t>
  </si>
  <si>
    <t>86569902818</t>
  </si>
  <si>
    <t>SunSmart Mirage 50 x 84 Damask Total Grey 50x84</t>
  </si>
  <si>
    <t>SS40-0016</t>
  </si>
  <si>
    <t>Madison Park Ceres 50 x 84 Twisted Tab To White 50x84</t>
  </si>
  <si>
    <t>846339075049</t>
  </si>
  <si>
    <t>J Queen New York Satinique Quilted 20 Square D Spa</t>
  </si>
  <si>
    <t>217905420SQ</t>
  </si>
  <si>
    <t>883893546585</t>
  </si>
  <si>
    <t>ED Ellen Degeneres ED Ellen Degeneres Love Hearts Dark Blue King</t>
  </si>
  <si>
    <t>USHSHC1049633</t>
  </si>
  <si>
    <t>ELLEN DEGENERES/REVMAN INTERNATIONL</t>
  </si>
  <si>
    <t>Croscill Magnolia Collection 20 x 30 Bronze 20 x 30</t>
  </si>
  <si>
    <t>838810015811</t>
  </si>
  <si>
    <t>simplehuman Bath Accessories, Slim Toilet black</t>
  </si>
  <si>
    <t>BT1084</t>
  </si>
  <si>
    <t>STAINLESS STEEL/PLASTIC</t>
  </si>
  <si>
    <t>54006242896</t>
  </si>
  <si>
    <t>Achim Parker 34x63 SP Slate ONE SIZE</t>
  </si>
  <si>
    <t>PKPP63SL06</t>
  </si>
  <si>
    <t>841643110929</t>
  </si>
  <si>
    <t>Duck River Textile Bali 38 x 84 Window Panel Pa Champagne 38x84</t>
  </si>
  <si>
    <t>BALI12735D 12</t>
  </si>
  <si>
    <t>91116709079</t>
  </si>
  <si>
    <t>Sanders Expressions 6-Pc. Wrinkle-Free Nap All Day Queen</t>
  </si>
  <si>
    <t>NVPSSQ</t>
  </si>
  <si>
    <t>840456040379</t>
  </si>
  <si>
    <t>Duck River Textile Steena 30 x 84 Velvet Blacko Taupe ONE SIZE</t>
  </si>
  <si>
    <t>STRTP 12 4037</t>
  </si>
  <si>
    <t>26865577921</t>
  </si>
  <si>
    <t>Elrene Window Treatments, Versailles Ivory 52x36</t>
  </si>
  <si>
    <t>91116712574</t>
  </si>
  <si>
    <t>Sanders Novelty Printed 4-Pc. King She Paisley King</t>
  </si>
  <si>
    <t>PBTSSK</t>
  </si>
  <si>
    <t>91116712598</t>
  </si>
  <si>
    <t>Sanders Novelty Printed 4-Pc. King She Plaid King</t>
  </si>
  <si>
    <t>840008316983</t>
  </si>
  <si>
    <t>Linenspa Signature Collection5Tight White Twin XL</t>
  </si>
  <si>
    <t>LSSC0PTX5P</t>
  </si>
  <si>
    <t>Avanti Rosefan Bath Towel, 25x50 Ivory</t>
  </si>
  <si>
    <t>91116716077</t>
  </si>
  <si>
    <t>Sanders Royal Silky Satin 4-Pc. Full S Blush Full</t>
  </si>
  <si>
    <t>BSHSSF</t>
  </si>
  <si>
    <t>91116712499</t>
  </si>
  <si>
    <t>Sanders Novelty Printed 4-Pc. Queen Sh Geo Queen</t>
  </si>
  <si>
    <t>PBTSSQ</t>
  </si>
  <si>
    <t>91116713779</t>
  </si>
  <si>
    <t>Sanders Embossed 4-Pc. Queen Sheet Set Blue Queen</t>
  </si>
  <si>
    <t>PIDSSQ</t>
  </si>
  <si>
    <t>91116712505</t>
  </si>
  <si>
    <t>Sanders Novelty Printed 4-Pc. Queen Sh Paisley Queen</t>
  </si>
  <si>
    <t>732997452349</t>
  </si>
  <si>
    <t>Martha Stewart Collection Martha Stewart Collection Tuft Grey Standard Sham</t>
  </si>
  <si>
    <t>21166135757</t>
  </si>
  <si>
    <t>Universal Home Fashions Universal Home Fashions Crushe Blue 40x84</t>
  </si>
  <si>
    <t>13277A</t>
  </si>
  <si>
    <t>UNIVERSAL HOME FASH/WELCOME INDUST</t>
  </si>
  <si>
    <t>849657025253</t>
  </si>
  <si>
    <t>Rod Desyne Teapot 716 Curtain Rod 18-2 Black 18-28in</t>
  </si>
  <si>
    <t>CF06-18-2</t>
  </si>
  <si>
    <t>849657025338</t>
  </si>
  <si>
    <t>Rod Desyne Frame 716 Curtain Rod 18-28 Satin Nickel 18-28in</t>
  </si>
  <si>
    <t>CF07-18-5</t>
  </si>
  <si>
    <t>83013184509</t>
  </si>
  <si>
    <t>Croscill Croscill Lauryn 84 X 84 Curt Multi ONE SIZE</t>
  </si>
  <si>
    <t>2A0-401O0-8020</t>
  </si>
  <si>
    <t>732996565026</t>
  </si>
  <si>
    <t>Martha Stewart Collection Snowman Cotton Bath Towel White Combo No Size</t>
  </si>
  <si>
    <t>732997452394</t>
  </si>
  <si>
    <t>Martha Stewart Collection Flourish Velvet Quilted Standa Mauve Standard Sham</t>
  </si>
  <si>
    <t>100020063ST</t>
  </si>
  <si>
    <t>91116709550</t>
  </si>
  <si>
    <t>Sanders Novelty Printed 3-Pc. Twin XL Floral Twin XL</t>
  </si>
  <si>
    <t>PBTSSX</t>
  </si>
  <si>
    <t>91116713755</t>
  </si>
  <si>
    <t>Sanders Embossed 3-Pc. Twin Sheet Set Blue Twin</t>
  </si>
  <si>
    <t>PIDSST</t>
  </si>
  <si>
    <t>91116713557</t>
  </si>
  <si>
    <t>Sanders Embossed 3-Pc. Twin Sheet Set Blush Twin</t>
  </si>
  <si>
    <t>LEASST</t>
  </si>
  <si>
    <t>734737535862</t>
  </si>
  <si>
    <t>Sunham Heavenly Touch 17 x 24 Tufte White 17 x 24</t>
  </si>
  <si>
    <t>R4395AN5321724</t>
  </si>
  <si>
    <t>732995296877</t>
  </si>
  <si>
    <t>LINEAR F LAV STD PC</t>
  </si>
  <si>
    <t>100050677SD</t>
  </si>
  <si>
    <t>SKY TEXTILES-BLM</t>
  </si>
  <si>
    <t>MADE IN INDIA</t>
  </si>
  <si>
    <t>81806448333</t>
  </si>
  <si>
    <t>Hudson Hill Galla 50 x 84 Damask-Print R Multi 50x84</t>
  </si>
  <si>
    <t>FZR02KCB2MLT</t>
  </si>
  <si>
    <t>81806449248</t>
  </si>
  <si>
    <t>Hudson Hill Jovie 50 x 84 Rod Pocket Win Grey 50x84</t>
  </si>
  <si>
    <t>FZR02KNB2GRY</t>
  </si>
  <si>
    <t>734737553088</t>
  </si>
  <si>
    <t>Lacoste Legend 16 x 30 Supima Cotton Moonlight Blue Hand Towels</t>
  </si>
  <si>
    <t>T16825B3871630</t>
  </si>
  <si>
    <t>SUPIMA COTTON LOOPS/ COTTON GROUND</t>
  </si>
  <si>
    <t>86569283245</t>
  </si>
  <si>
    <t>Urban Habitat Rhinestone Starburst Cotton 12 Pink No Size</t>
  </si>
  <si>
    <t>MCH73-1590</t>
  </si>
  <si>
    <t>191790011113</t>
  </si>
  <si>
    <t>NEUT T950 GRAYSON KG</t>
  </si>
  <si>
    <t>22222104099AQT</t>
  </si>
  <si>
    <t>191790011069</t>
  </si>
  <si>
    <t>FASH T950 GRAYSON QN</t>
  </si>
  <si>
    <t>22222103100AQT</t>
  </si>
  <si>
    <t>91116679457</t>
  </si>
  <si>
    <t>T220 PRINT QN ASST APACKBASIC</t>
  </si>
  <si>
    <t>P22SSQ</t>
  </si>
  <si>
    <t>8051275258841</t>
  </si>
  <si>
    <t>KARIM BASIC</t>
  </si>
  <si>
    <t>BLM</t>
  </si>
  <si>
    <t>MISSONI/T &amp; J VESTOR AMERICA INC</t>
  </si>
  <si>
    <t>MADE IN ITALY</t>
  </si>
  <si>
    <t>5606454026709</t>
  </si>
  <si>
    <t>STRIPE LINEN SILK LISBON</t>
  </si>
  <si>
    <t>SPECIAL BED-B</t>
  </si>
  <si>
    <t>AMALIA HOME/CHELSEA TRADE-CONSIGN</t>
  </si>
  <si>
    <t>MADE IN PORTUGAL</t>
  </si>
  <si>
    <t>75% LINEN/25% SILK</t>
  </si>
  <si>
    <t>5606454026723</t>
  </si>
  <si>
    <t>8051275304531</t>
  </si>
  <si>
    <t>KARIM FLAT SHEET</t>
  </si>
  <si>
    <t>5606454026730</t>
  </si>
  <si>
    <t>8051275259343</t>
  </si>
  <si>
    <t>8051275258698</t>
  </si>
  <si>
    <t>8051275240471</t>
  </si>
  <si>
    <t>ODETTE BASIC</t>
  </si>
  <si>
    <t>COTTON SATEEN</t>
  </si>
  <si>
    <t>810026430749</t>
  </si>
  <si>
    <t>RILEYBLOCKDUVETSHAM</t>
  </si>
  <si>
    <t>RI0749</t>
  </si>
  <si>
    <t>RILEY HOME/DREAM LAB LLC</t>
  </si>
  <si>
    <t>100% COTTON SATEEN</t>
  </si>
  <si>
    <t>8051275258704</t>
  </si>
  <si>
    <t>810026435607</t>
  </si>
  <si>
    <t>RILEYPERCALDUVETSHAM</t>
  </si>
  <si>
    <t>RI5607</t>
  </si>
  <si>
    <t>100% COTTON PERCALE</t>
  </si>
  <si>
    <t>709271440217</t>
  </si>
  <si>
    <t>CKMC CALVIN</t>
  </si>
  <si>
    <t>1410107-KG-B1-D2</t>
  </si>
  <si>
    <t>5606454026808</t>
  </si>
  <si>
    <t>810026430831</t>
  </si>
  <si>
    <t>RI0831</t>
  </si>
  <si>
    <t>810026430350</t>
  </si>
  <si>
    <t>RILEYCOTTENCOVERLET</t>
  </si>
  <si>
    <t>RI0350</t>
  </si>
  <si>
    <t>5606454086741</t>
  </si>
  <si>
    <t>SHAM PAIR DINAMENE</t>
  </si>
  <si>
    <t>100% COMBED COTTON</t>
  </si>
  <si>
    <t>810026430336</t>
  </si>
  <si>
    <t>RI0336</t>
  </si>
  <si>
    <t>810026435591</t>
  </si>
  <si>
    <t>RI5591</t>
  </si>
  <si>
    <t>8051275258988</t>
  </si>
  <si>
    <t>5606454086727</t>
  </si>
  <si>
    <t>780870715050</t>
  </si>
  <si>
    <t>TENORA - CNSMWHY</t>
  </si>
  <si>
    <t>3488CNSMWHY</t>
  </si>
  <si>
    <t>SFERRA FINE LINENS LLC</t>
  </si>
  <si>
    <t>COTTON PERCALE</t>
  </si>
  <si>
    <t>780870715043</t>
  </si>
  <si>
    <t>TENORA - KGSMWHY</t>
  </si>
  <si>
    <t>3488KGSMWHY</t>
  </si>
  <si>
    <t>810026430329</t>
  </si>
  <si>
    <t>RI0329</t>
  </si>
  <si>
    <t>810026430343</t>
  </si>
  <si>
    <t>RI0343</t>
  </si>
  <si>
    <t>780870715036</t>
  </si>
  <si>
    <t>TENORA - SDSMWHY</t>
  </si>
  <si>
    <t>3488SDSMWHY</t>
  </si>
  <si>
    <t>709271451466</t>
  </si>
  <si>
    <t>ABIGAIL</t>
  </si>
  <si>
    <t>3310154-QN-N1-D2</t>
  </si>
  <si>
    <t>5060518081491</t>
  </si>
  <si>
    <t>TROPICAL S EURO SHM</t>
  </si>
  <si>
    <t>PCSUSEP56</t>
  </si>
  <si>
    <t>GINGERLILY LONDON LLC</t>
  </si>
  <si>
    <t>MULBERRY SILK JACQUARD</t>
  </si>
  <si>
    <t>675716904906</t>
  </si>
  <si>
    <t>Urban Habitat Brooklyn Cotton 7-Pc. FullQue Ivory FullQueen</t>
  </si>
  <si>
    <t>UH10-0199</t>
  </si>
  <si>
    <t>810026430190</t>
  </si>
  <si>
    <t>RILEYPETBED</t>
  </si>
  <si>
    <t>RI0190</t>
  </si>
  <si>
    <t>DENIM COVER: 58% COTTON/22% POLYESTER/20% RAYON; BOTTOM FABRIC: 81% POLYESTER/19% COTTON; DENIM PILLOW: 81% POLYESTER/19% COTTON</t>
  </si>
  <si>
    <t>693614014756</t>
  </si>
  <si>
    <t>Ella Jayne Arctic Chill Super Cooling Gel White</t>
  </si>
  <si>
    <t>IYSPLLW-COOLJ2</t>
  </si>
  <si>
    <t>RAYON COLD FIBER, POLYESTER</t>
  </si>
  <si>
    <t>810026430862</t>
  </si>
  <si>
    <t>RI0862</t>
  </si>
  <si>
    <t>PREMUIM LONG STAPLE COMBED COTTON</t>
  </si>
  <si>
    <t>810026434648</t>
  </si>
  <si>
    <t>RILEY SLATE 2P BATH SHEET</t>
  </si>
  <si>
    <t>RI4648</t>
  </si>
  <si>
    <t>100% EGYPTIAN COTTON</t>
  </si>
  <si>
    <t>810026434723</t>
  </si>
  <si>
    <t>RILEY WHITE 2P BATH SHEET</t>
  </si>
  <si>
    <t>RI4723</t>
  </si>
  <si>
    <t>810026435584</t>
  </si>
  <si>
    <t>RI5584</t>
  </si>
  <si>
    <t>810026435669</t>
  </si>
  <si>
    <t>RI5669</t>
  </si>
  <si>
    <t>783048075796</t>
  </si>
  <si>
    <t>Truly Soft Truly Soft Arrow Pleated 6 Pie White TwinTwin XL</t>
  </si>
  <si>
    <t>BIB1969WTXAR-32</t>
  </si>
  <si>
    <t>810026430800</t>
  </si>
  <si>
    <t>RI0800</t>
  </si>
  <si>
    <t>PREMIUM LONG STAPLE COMBED COTTON</t>
  </si>
  <si>
    <t>675716465230</t>
  </si>
  <si>
    <t>Beautyrest Oversized Solid Microlight Rev Garnet Throw</t>
  </si>
  <si>
    <t>BR54-0311</t>
  </si>
  <si>
    <t>807000231256</t>
  </si>
  <si>
    <t>ORGANIC DOBBY SHST</t>
  </si>
  <si>
    <t>ZORLU USA INC</t>
  </si>
  <si>
    <t>ORGANIC COTTON</t>
  </si>
  <si>
    <t>807000231249</t>
  </si>
  <si>
    <t>807000231270</t>
  </si>
  <si>
    <t>300 ORG CTN SS FL G</t>
  </si>
  <si>
    <t>86569066015</t>
  </si>
  <si>
    <t>Intelligent Design Benny 4-Pc. TwinTwin XL Comfo White TwinTwin XL</t>
  </si>
  <si>
    <t>ID10-1343</t>
  </si>
  <si>
    <t>709271419732</t>
  </si>
  <si>
    <t>CK MODERN COTTON BOD BASIC</t>
  </si>
  <si>
    <t>131BODY-CK-F3-D3</t>
  </si>
  <si>
    <t>170 GRAMS PER SQUARE UNIT COTTON/MODAL</t>
  </si>
  <si>
    <t>810026432903</t>
  </si>
  <si>
    <t>RILEY SATEEN SP FL SHT QN</t>
  </si>
  <si>
    <t>RI2903</t>
  </si>
  <si>
    <t>PREMIUM LONG STAPLE COMBED COTTON SATEEN</t>
  </si>
  <si>
    <t>709271434797</t>
  </si>
  <si>
    <t>CK SERIES 1</t>
  </si>
  <si>
    <t>1110027-ST-W1-D3</t>
  </si>
  <si>
    <t>709271434551</t>
  </si>
  <si>
    <t>CK SERIES 1 BASIC</t>
  </si>
  <si>
    <t>1110027-ST-G1-D3</t>
  </si>
  <si>
    <t>807000231201</t>
  </si>
  <si>
    <t>86569156655</t>
  </si>
  <si>
    <t>Intelligent Design Kacie TwinTwin XL 2 Piece Sol Grey TwinTwin XL</t>
  </si>
  <si>
    <t>ID13-1642</t>
  </si>
  <si>
    <t>COVERLET/SHAM: POLYESTER MICROFIBER, COVERLET WITH POLYESTER FILLING</t>
  </si>
  <si>
    <t>810026434457</t>
  </si>
  <si>
    <t>RILEY MIST 2P BATH TOWEL</t>
  </si>
  <si>
    <t>RI4457</t>
  </si>
  <si>
    <t>810026434693</t>
  </si>
  <si>
    <t>RILEY WHITE 2P BATH TOWEL</t>
  </si>
  <si>
    <t>RI4693</t>
  </si>
  <si>
    <t>810026434617</t>
  </si>
  <si>
    <t>RILEY SLATE 2P BATH TOWEL</t>
  </si>
  <si>
    <t>RI4617</t>
  </si>
  <si>
    <t>810026434532</t>
  </si>
  <si>
    <t>RILEY SAND 2P BATH TOWEL</t>
  </si>
  <si>
    <t>RI4532</t>
  </si>
  <si>
    <t>810026434495</t>
  </si>
  <si>
    <t>RILEY NAVY 2P BATH TOWEL</t>
  </si>
  <si>
    <t>RI4495</t>
  </si>
  <si>
    <t>810026430435</t>
  </si>
  <si>
    <t>RILEYBABYBLANKET</t>
  </si>
  <si>
    <t>RI0435</t>
  </si>
  <si>
    <t>810026431319</t>
  </si>
  <si>
    <t>RILEYSATEENDUVTSHAM</t>
  </si>
  <si>
    <t>RI1319</t>
  </si>
  <si>
    <t>732994374040</t>
  </si>
  <si>
    <t>HP S VELOUR ROBE SM</t>
  </si>
  <si>
    <t>HUDSON PARK</t>
  </si>
  <si>
    <t>732995297072</t>
  </si>
  <si>
    <t>MARTINA MINT TW SS</t>
  </si>
  <si>
    <t>100049982TW</t>
  </si>
  <si>
    <t>732995297119</t>
  </si>
  <si>
    <t>MARTINA GREY TW SS</t>
  </si>
  <si>
    <t>100050429TW</t>
  </si>
  <si>
    <t>810026433245</t>
  </si>
  <si>
    <t>RILEYCRIBSHEET</t>
  </si>
  <si>
    <t>RI3245</t>
  </si>
  <si>
    <t>CRIBFLAT</t>
  </si>
  <si>
    <t>810026433238</t>
  </si>
  <si>
    <t>RI3238</t>
  </si>
  <si>
    <t>810026433221</t>
  </si>
  <si>
    <t>RI3221</t>
  </si>
  <si>
    <t>810026434143</t>
  </si>
  <si>
    <t>RILEY SATEEN SQ PCASE TH</t>
  </si>
  <si>
    <t>RI4143</t>
  </si>
  <si>
    <t>810026433863</t>
  </si>
  <si>
    <t>RILEY PERCALESS</t>
  </si>
  <si>
    <t>RI3863</t>
  </si>
  <si>
    <t>810026435485</t>
  </si>
  <si>
    <t>RI5485</t>
  </si>
  <si>
    <t>810026433726</t>
  </si>
  <si>
    <t>RI3726</t>
  </si>
  <si>
    <t>810026433764</t>
  </si>
  <si>
    <t>RI3764</t>
  </si>
  <si>
    <t>709271422855</t>
  </si>
  <si>
    <t>CKMC STRATA BASIC</t>
  </si>
  <si>
    <t>1110018-KG-S1-D6</t>
  </si>
  <si>
    <t>709271377575</t>
  </si>
  <si>
    <t>111BODY-KG-W1-D6</t>
  </si>
  <si>
    <t>709271377742</t>
  </si>
  <si>
    <t>111BODY-KG-G1-D6</t>
  </si>
  <si>
    <t>709271377919</t>
  </si>
  <si>
    <t>111BODY-KG-C1-D6</t>
  </si>
  <si>
    <t>709271441412</t>
  </si>
  <si>
    <t>CKMC HARRISON</t>
  </si>
  <si>
    <t>1110113-KG-B1-D6</t>
  </si>
  <si>
    <t>810026434839</t>
  </si>
  <si>
    <t>RILEY SAND ZT BATH TOWEL</t>
  </si>
  <si>
    <t>RI4839</t>
  </si>
  <si>
    <t>810026434884</t>
  </si>
  <si>
    <t>RILEY SLVR ZT BATH TWL</t>
  </si>
  <si>
    <t>RI4884</t>
  </si>
  <si>
    <t>709271419640</t>
  </si>
  <si>
    <t>121BODY-TW-F3-D3</t>
  </si>
  <si>
    <t>REGTWNFLAT</t>
  </si>
  <si>
    <t>675716700164</t>
  </si>
  <si>
    <t>Madison Park Amherst Colorblocked 50 x 18 Black 50x18</t>
  </si>
  <si>
    <t>MP41-2226</t>
  </si>
  <si>
    <t>810026434501</t>
  </si>
  <si>
    <t>RILEY NAVY 2P HAND TOWEL</t>
  </si>
  <si>
    <t>RI4501</t>
  </si>
  <si>
    <t>885308487353</t>
  </si>
  <si>
    <t>Eclipse Eclipse Solid Thermapanel Navy 54x54</t>
  </si>
  <si>
    <t>15061054X054NVY</t>
  </si>
  <si>
    <t>54 DBL</t>
  </si>
  <si>
    <t>5606454026778</t>
  </si>
  <si>
    <t>5606454026747</t>
  </si>
  <si>
    <t>5606454026792</t>
  </si>
  <si>
    <t>32281274504</t>
  </si>
  <si>
    <t>STAR WARS CL SPACE BATTL</t>
  </si>
  <si>
    <t>JF27450BBCD</t>
  </si>
  <si>
    <t>841230018195</t>
  </si>
  <si>
    <t>Tempur-Pedic Adaptive Comfort Queen Memory White Queen</t>
  </si>
  <si>
    <t>TEMPUR-PEDIC NORTH AMERICA INC</t>
  </si>
  <si>
    <t>COVER TOP: POLYESTER/POLYPROPYLENE; BOTTOM: POLYESTER; FILL: VISCOELASTIC POLYURETHANE FOAM</t>
  </si>
  <si>
    <t>96675640344</t>
  </si>
  <si>
    <t>SensorGel Gel 3 King Mattress Topper White King</t>
  </si>
  <si>
    <t>POLYESTER/COTTON COVER; SENSORGEL MEMORY FOAM FILL</t>
  </si>
  <si>
    <t>96675638242</t>
  </si>
  <si>
    <t>SensorGel Luxury iCOOL 3 Gel-Infused Me White King</t>
  </si>
  <si>
    <t>96675638235</t>
  </si>
  <si>
    <t>SensorGel Luxury iCOOL 3 Gel-Infused Me White Queen</t>
  </si>
  <si>
    <t>840053098421</t>
  </si>
  <si>
    <t>Better Trends Athenia FullQueen Comforter S Gray</t>
  </si>
  <si>
    <t>SS-QUATQFGRY</t>
  </si>
  <si>
    <t>732995130195</t>
  </si>
  <si>
    <t>Hotel Collection Medium Weight White FullQueen White FullQueen</t>
  </si>
  <si>
    <t>100062540QN</t>
  </si>
  <si>
    <t>PB COMFORTERS</t>
  </si>
  <si>
    <t>96675640245</t>
  </si>
  <si>
    <t>SensorGel Gel 1.5 King Mattress Topper White King</t>
  </si>
  <si>
    <t>96675810112</t>
  </si>
  <si>
    <t>Martha Stewart Collection Dream Science 2 Memory Foam K White King</t>
  </si>
  <si>
    <t>10012103KG</t>
  </si>
  <si>
    <t>25695927517</t>
  </si>
  <si>
    <t>Lauren Ralph Lauren 4 Dual Layer Memory Foam Que White Queen</t>
  </si>
  <si>
    <t>COTTON; MEMORY FOAM FILL</t>
  </si>
  <si>
    <t>696445161262</t>
  </si>
  <si>
    <t>Cassadecor Melrose Wastebasket Brown</t>
  </si>
  <si>
    <t>AML-WB</t>
  </si>
  <si>
    <t>KASSATEX INC</t>
  </si>
  <si>
    <t>42075544270</t>
  </si>
  <si>
    <t>Microsculpt Microsculpt Medallion King Com Blush</t>
  </si>
  <si>
    <t>2-8645C4BH</t>
  </si>
  <si>
    <t>Lush Decor Leah Floral 52 x 84 Curtain Blue 52x84</t>
  </si>
  <si>
    <t>34086678167</t>
  </si>
  <si>
    <t>WHITE MARBLE PUMP BASIC</t>
  </si>
  <si>
    <t>WATERWORKS/SPRINGS GLOBAL US INC</t>
  </si>
  <si>
    <t>IMPORTED GREEK MARBLE</t>
  </si>
  <si>
    <t>849657035733</t>
  </si>
  <si>
    <t>Rod Desyne Pipe 1 Blackout Curtain Rod 8 Black 84-120</t>
  </si>
  <si>
    <t>BOT100-842</t>
  </si>
  <si>
    <t>783048019417</t>
  </si>
  <si>
    <t>Oceanfront Resort Oceanfront Resort Tropical Pla Grey And White FullQueen</t>
  </si>
  <si>
    <t>DCS1965FQ-1800</t>
  </si>
  <si>
    <t>FACE CLOTH IS 200 THREAD COUNT COTTON FABRIC WITH A 180 THREAD COUNT COTTON REVERSE CLOTH.</t>
  </si>
  <si>
    <t>849657035696</t>
  </si>
  <si>
    <t>Rod Desyne Pipe 1 Blackout Curtain Rod 4 Black 48-84in</t>
  </si>
  <si>
    <t>BOT100-482</t>
  </si>
  <si>
    <t>34086607358</t>
  </si>
  <si>
    <t>Waterworks White Marble Jar White</t>
  </si>
  <si>
    <t>766195472618</t>
  </si>
  <si>
    <t>Tommy Hilfiger Rip and Repair 12 x 18 Decor Light Blue</t>
  </si>
  <si>
    <t>110737TH001</t>
  </si>
  <si>
    <t>12X18</t>
  </si>
  <si>
    <t>675716483784</t>
  </si>
  <si>
    <t>Mi Zone Ashton 4-Pc. FullQueen Comfor OrangeGrey FullQueen</t>
  </si>
  <si>
    <t>MZ10-145</t>
  </si>
  <si>
    <t>ORANGE</t>
  </si>
  <si>
    <t>46249563142</t>
  </si>
  <si>
    <t>kate spade new york Paintball Cotton Floral-Print Shower Curtain</t>
  </si>
  <si>
    <t>289PNTB-SJ-M1-D2</t>
  </si>
  <si>
    <t>Ella Jayne Waterproof and Hypoallergenic White Queen</t>
  </si>
  <si>
    <t>Popular Bath Ultimate 32 x 60 Shower Cadd Chrome</t>
  </si>
  <si>
    <t>34086676514</t>
  </si>
  <si>
    <t>MARBLE</t>
  </si>
  <si>
    <t>706257996294</t>
  </si>
  <si>
    <t>Charter Club Damask Designs 20 Square Swea Navy 20x20</t>
  </si>
  <si>
    <t>D2020KNTNA</t>
  </si>
  <si>
    <t>Charter Club Damask Designs Embroidered 18 Aqua 18x18</t>
  </si>
  <si>
    <t>86569989680</t>
  </si>
  <si>
    <t>Madison Park Serene 50 x 84 Colorblocked Spice 50x84</t>
  </si>
  <si>
    <t>MP40-5470</t>
  </si>
  <si>
    <t>Martha Stewart Collection Plaid or Embossed Medallion De White Combo ONE SIZE</t>
  </si>
  <si>
    <t>675716846152</t>
  </si>
  <si>
    <t>Intelligent Design Olivia Floral-Print 50 x 84 Blue 50x84</t>
  </si>
  <si>
    <t>ID40-1012</t>
  </si>
  <si>
    <t>783048107664</t>
  </si>
  <si>
    <t>Truly Soft Paulette Plaid Twin XL Duvet S Tan TwinTwin XL</t>
  </si>
  <si>
    <t>DCS3226TXL-1800</t>
  </si>
  <si>
    <t>783048092625</t>
  </si>
  <si>
    <t>Truly Soft Leon Plaid Twin XL Duvet Set Grey Twin XL</t>
  </si>
  <si>
    <t>DCS3068GYTX-00</t>
  </si>
  <si>
    <t>885308456908</t>
  </si>
  <si>
    <t>Eclipse Tricia Patio Door Panel River Blue 100x84</t>
  </si>
  <si>
    <t>15945100X084RVB</t>
  </si>
  <si>
    <t>83013274606</t>
  </si>
  <si>
    <t>Croscill Ayla Tissue Cover White ONE SIZE</t>
  </si>
  <si>
    <t>6A0-006O0-0042</t>
  </si>
  <si>
    <t>800298600087</t>
  </si>
  <si>
    <t>HIGH RISE BASIC</t>
  </si>
  <si>
    <t>HRD101052TBC</t>
  </si>
  <si>
    <t>DKNY/CHF INDUSTRIES INC</t>
  </si>
  <si>
    <t>636193847452</t>
  </si>
  <si>
    <t>Hotel Collection Hotel Collection Woven Texture Ivory Standard Sham</t>
  </si>
  <si>
    <t>WT13SS790</t>
  </si>
  <si>
    <t>860001844917</t>
  </si>
  <si>
    <t>Estex Home Fashions Reversible Velvet Pinsonic Fle Neutral 50x60</t>
  </si>
  <si>
    <t>VST5060N</t>
  </si>
  <si>
    <t>ESTEX HOME FASHION</t>
  </si>
  <si>
    <t>21864387564</t>
  </si>
  <si>
    <t>Avanti Cardinal Shower Curtain Multi No Size</t>
  </si>
  <si>
    <t>13389H</t>
  </si>
  <si>
    <t>675716571894</t>
  </si>
  <si>
    <t>Madison Park Saratoga 50 x 63 Fretwork-Pr Beige 50x63</t>
  </si>
  <si>
    <t>MP40-1279</t>
  </si>
  <si>
    <t>BODY: POLYESTER/COTTON/RAYON</t>
  </si>
  <si>
    <t>628961000015</t>
  </si>
  <si>
    <t>Kensington Garden Dupioni Silver 20 x 20 Decor Silver 20x20</t>
  </si>
  <si>
    <t>JET8898</t>
  </si>
  <si>
    <t>42694385209</t>
  </si>
  <si>
    <t>Mohawk Cherish 20 x 34 Bath Rug Sedona Red 20x34</t>
  </si>
  <si>
    <t>Y3260-286-020034</t>
  </si>
  <si>
    <t>34X20</t>
  </si>
  <si>
    <t>AMERICAN RUG-MOHAWK INDUSTRIES</t>
  </si>
  <si>
    <t>86569904690</t>
  </si>
  <si>
    <t>Madison Park Elena 38 x 46 Faux-Silk Rod Bronze 38x46</t>
  </si>
  <si>
    <t>MP41-4955</t>
  </si>
  <si>
    <t>DARKYELLOW</t>
  </si>
  <si>
    <t>766380347356</t>
  </si>
  <si>
    <t>Charter Club Classic Pima Cotton 33 x 64 Black</t>
  </si>
  <si>
    <t>CCLASSBLA</t>
  </si>
  <si>
    <t>KG/BATHSHT</t>
  </si>
  <si>
    <t>85214121895</t>
  </si>
  <si>
    <t>Disney Disney Toy Story Toddler Sheet Multi ONE SIZE</t>
  </si>
  <si>
    <t>709271325231</t>
  </si>
  <si>
    <t>Calvin Klein Calvin Klein Spotted Stems 12 Stream</t>
  </si>
  <si>
    <t>4PXC5S</t>
  </si>
  <si>
    <t>SHELL: COTTON. FLOCK: NYLON. DOWN/FEATHER FILL.</t>
  </si>
  <si>
    <t>800298652321</t>
  </si>
  <si>
    <t>FINE LINES</t>
  </si>
  <si>
    <t>FLD140009TTM</t>
  </si>
  <si>
    <t>732997098547</t>
  </si>
  <si>
    <t>Lucky Brand Smocked Ruffle Cotton 300-Thre White Standard</t>
  </si>
  <si>
    <t>100058495SD</t>
  </si>
  <si>
    <t>814945024447</t>
  </si>
  <si>
    <t>De Moocci Wrap Around Bed Skirt, Elastic White</t>
  </si>
  <si>
    <t>1606BS-WHT-QK</t>
  </si>
  <si>
    <t>812538031513</t>
  </si>
  <si>
    <t>Butterfly Home Fashions Cotton 21 x 34 Bath Rug Mist 21 x 34</t>
  </si>
  <si>
    <t>SRSY20H213403</t>
  </si>
  <si>
    <t>BUTTERFLY HOME FASHIONS LLC</t>
  </si>
  <si>
    <t>21864389339</t>
  </si>
  <si>
    <t>Avanti Medallion Jacquard 16 x 28 H Flint 16x28</t>
  </si>
  <si>
    <t>060312FLT</t>
  </si>
  <si>
    <t>FABRIC: COTTON/VISCOSE 575 GRAMS PER SQUARE METER</t>
  </si>
  <si>
    <t>848405036688</t>
  </si>
  <si>
    <t>Mainstream International Inc. Velour Stripe Cotton 16 x 26 Mineral No Size</t>
  </si>
  <si>
    <t>MACPRO194108</t>
  </si>
  <si>
    <t>732995009262</t>
  </si>
  <si>
    <t>Charter Club Cotton 13 x 13 Wash Towel Grey Oyster Washcloths</t>
  </si>
  <si>
    <t>816402010734</t>
  </si>
  <si>
    <t>CTDWN 1-IN RD BLND BASIC</t>
  </si>
  <si>
    <t>CDRD6664B-61</t>
  </si>
  <si>
    <t>WHOLESPACE INDUSTRIES LTD</t>
  </si>
  <si>
    <t>86569045072</t>
  </si>
  <si>
    <t>Sleep Philosophy True North by Sleep Philosophy White King</t>
  </si>
  <si>
    <t>TN10-0352</t>
  </si>
  <si>
    <t>COMFORTER SHELL: 100% COTTON PERCALE, DOWNPROOF. FILLING: WHITE DOWN, 80% FEATHER/20% DOWN ON SIDE PANELS.</t>
  </si>
  <si>
    <t>732998347699</t>
  </si>
  <si>
    <t>Martha Stewart Collection Ivory Pucker Damask 14-Pc. Kin Medium Bluegre King</t>
  </si>
  <si>
    <t>100089180KG</t>
  </si>
  <si>
    <t>86569933379</t>
  </si>
  <si>
    <t>Madison Park Cadence Cotton 8-Pc. FullQuee Aqua FullQueen</t>
  </si>
  <si>
    <t>MP12-5092</t>
  </si>
  <si>
    <t>DUVET COVER/SHAM: COTTON FACE, REVERSES TO COTTON/POLYESTER; THREAD COUNT: 200, REVERSES TO 132; PILLOW SHELL/PILLOWCASE: COTTON/POLYESTER; PILLOW FILL: POLYESTER</t>
  </si>
  <si>
    <t>732998523918</t>
  </si>
  <si>
    <t>Martha Stewart Collection Flamingo Lagoon 3-Pc. King Com Pink King</t>
  </si>
  <si>
    <t>100077563KG</t>
  </si>
  <si>
    <t>DARK PINK</t>
  </si>
  <si>
    <t>FABRIC: 100% COTTON 250 GRAMS PER SQUARE METER; THREAD COUNT: 250, REVERSES TO 144</t>
  </si>
  <si>
    <t>47225015181</t>
  </si>
  <si>
    <t>Dream Factory Dream Factory Dinosaur Twin Co Multi</t>
  </si>
  <si>
    <t>2-742301MU</t>
  </si>
  <si>
    <t>735732816666</t>
  </si>
  <si>
    <t>VCNY Home VCNY HOME POLYGALON 5PC COMFOR Taupe Queen</t>
  </si>
  <si>
    <t>PYG-5CS-QUEN-MA-TAUP</t>
  </si>
  <si>
    <t>675716548896</t>
  </si>
  <si>
    <t>Sleep Philosophy Benton Double-Layer Microfiber White King</t>
  </si>
  <si>
    <t>BASI10-0258</t>
  </si>
  <si>
    <t>784008134775</t>
  </si>
  <si>
    <t>Ella Jayne 2 Pack Cool N Comfort Gel Fib Blue Queen</t>
  </si>
  <si>
    <t>BMI13851L2</t>
  </si>
  <si>
    <t>POLYESTER, COOLMAX</t>
  </si>
  <si>
    <t>675716904975</t>
  </si>
  <si>
    <t>Urban Habitat Kids Cloud 4-Pc. Printed Twin Blue TwinTwin XL</t>
  </si>
  <si>
    <t>UHK10-0017</t>
  </si>
  <si>
    <t>COMFORTER/SHAM: COTTON; REVERSES TO COTTON THREAD COUNT: 144COMFORTER: POLYESTER FILL 220 GRAMS PER SQUARE METERPILLOW: COTTON; POLYESTER FILL THREAD COUNT: 144</t>
  </si>
  <si>
    <t>81806481118</t>
  </si>
  <si>
    <t>Martha Stewart Collection Premium Zip Off Queen Mattress White Queen</t>
  </si>
  <si>
    <t>100041741QN</t>
  </si>
  <si>
    <t>MARTHA STEWART-EDI/KEECO LLC</t>
  </si>
  <si>
    <t>SHELL: 100% COTTON; THREAD COUNT: 350; 14-OZ. HYPOALLERGENIC POLYESTER FILL</t>
  </si>
  <si>
    <t>675716514778</t>
  </si>
  <si>
    <t>Madison Park Liquid Cotton King Blanket New Grey King</t>
  </si>
  <si>
    <t>BL51N-0680</t>
  </si>
  <si>
    <t>791551262329</t>
  </si>
  <si>
    <t>Martha Stewart Collection Triple Knit FullQueen Blanket Pink Rose FullQueen</t>
  </si>
  <si>
    <t>10028641FQ</t>
  </si>
  <si>
    <t>841643118413</t>
  </si>
  <si>
    <t>kensie Maddie 38 x 84 Metallic Blac White ONE SIZE</t>
  </si>
  <si>
    <t>MADDIE13459D-12</t>
  </si>
  <si>
    <t>706258994534</t>
  </si>
  <si>
    <t>Hotel Collection Speckle 16 x 16 Decorative P Pink</t>
  </si>
  <si>
    <t>FABRIC: VISCOSE/COTTON; FILL: POLYESTER</t>
  </si>
  <si>
    <t>675716361426</t>
  </si>
  <si>
    <t>Harbor House Coastline Embroidered 18 Squa Ivory 18x18</t>
  </si>
  <si>
    <t>HH30-400A</t>
  </si>
  <si>
    <t>732997233085</t>
  </si>
  <si>
    <t>Hotel Collection CLOSEOUT Hotel Collection Lin Black Queen</t>
  </si>
  <si>
    <t>100073399QN</t>
  </si>
  <si>
    <t>726895525519</t>
  </si>
  <si>
    <t>Hotel Collection Plume King Bedskirt White King</t>
  </si>
  <si>
    <t>1005781KG</t>
  </si>
  <si>
    <t>675716866211</t>
  </si>
  <si>
    <t>Mi Zone Pipeline 4-Pc. FullQueen Duve Navy FullQueen</t>
  </si>
  <si>
    <t>MZ12-504</t>
  </si>
  <si>
    <t>DUVET COVER/SHAM/PILLOW COVER: POLYESTER; PILLOW FILL: POLYESTER</t>
  </si>
  <si>
    <t>Small World Home Canvas 18 x 18 Decorative Pi Yellow 18x18</t>
  </si>
  <si>
    <t>887522982782</t>
  </si>
  <si>
    <t>Deny Designs Ginette Fine Art Rust 16 Squa Multi</t>
  </si>
  <si>
    <t>14242-OTHRP16</t>
  </si>
  <si>
    <t>791551262428</t>
  </si>
  <si>
    <t>Martha Stewart Collection Triple Knit Twin Blanket Pink Rose Twin</t>
  </si>
  <si>
    <t>10028641TW</t>
  </si>
  <si>
    <t>COTTON/POLYESTER; FILL: POLYESTER</t>
  </si>
  <si>
    <t>732995626940</t>
  </si>
  <si>
    <t>Hotel Collection Woodrose 300-Thread Count 18 Medium Pink 18x18</t>
  </si>
  <si>
    <t>Ella Jayne Waterproof and Hypoallergenic White Twin</t>
  </si>
  <si>
    <t>732995626926</t>
  </si>
  <si>
    <t>Hotel Collection Woodrose 300-Thread Count Quil Medium Pink European Sham</t>
  </si>
  <si>
    <t>100041755ER</t>
  </si>
  <si>
    <t>732997361085</t>
  </si>
  <si>
    <t>Home Design Studio Pumpkin 18 x 18 Decorative P White 18x18</t>
  </si>
  <si>
    <t>MMG-HOME DESIGN STUDIO/SARITA HANDA</t>
  </si>
  <si>
    <t>LINING: COTTON; EMBROIDERY: POLYESTER/METALLIC; CORD: JUTE; WHITE: COTTON/RAYON; FILLER SHELL: COTTON</t>
  </si>
  <si>
    <t>675716766818</t>
  </si>
  <si>
    <t>Madison Park Quebec Oversized Quilted Throw Seafoam 60x70</t>
  </si>
  <si>
    <t>MP50-2987</t>
  </si>
  <si>
    <t>732995690064</t>
  </si>
  <si>
    <t>Home Design Studio Handstitched Beaded 16 x 16 Gold</t>
  </si>
  <si>
    <t>26865545883</t>
  </si>
  <si>
    <t>Elrene Cachet 52 x 84 Faux Silk 3-i Blue 52x84</t>
  </si>
  <si>
    <t>34621BLU</t>
  </si>
  <si>
    <t>POLYESTER FAUX SILK</t>
  </si>
  <si>
    <t>807882533615</t>
  </si>
  <si>
    <t>THRO Rosie Jacquard 20 x 20 Decor Ivory Silver 18x18</t>
  </si>
  <si>
    <t>TH022524001MDS</t>
  </si>
  <si>
    <t>THRO/JIMCO LAMP &amp; MANUFACTURING CO</t>
  </si>
  <si>
    <t>675716669881</t>
  </si>
  <si>
    <t>Madison Park Zuri Reversible Oversized 60 Chocolate 60x70</t>
  </si>
  <si>
    <t>MP50-1912</t>
  </si>
  <si>
    <t>675716958718</t>
  </si>
  <si>
    <t>Madison Park Harper 42 x 144 Solid Crushe Cream 42x144</t>
  </si>
  <si>
    <t>MP40-4528</t>
  </si>
  <si>
    <t>27399025193</t>
  </si>
  <si>
    <t>Vellux Vellux FullQueen Blanket Navy FullQueen</t>
  </si>
  <si>
    <t>AWKWB162180</t>
  </si>
  <si>
    <t>VELLUX/WESTPOINT HOME</t>
  </si>
  <si>
    <t>NYLON</t>
  </si>
  <si>
    <t>735732189876</t>
  </si>
  <si>
    <t>VCNY Home VCNY Home Casa Real Reversibl Multi FullQueen</t>
  </si>
  <si>
    <t>C10-5DV-FUQU-IN-MULT</t>
  </si>
  <si>
    <t>706258091202</t>
  </si>
  <si>
    <t>Charter Club Damask Pima Cotton 550-Thread Stone Dark Grey King</t>
  </si>
  <si>
    <t>DNSLDKGBSTN</t>
  </si>
  <si>
    <t>675716802233</t>
  </si>
  <si>
    <t>Madison Park Elma Oversized Reversible 60 Tan 60x70</t>
  </si>
  <si>
    <t>MP50-3252</t>
  </si>
  <si>
    <t>Charter Club Nautical Stripe 30 x 45 Scat NavyCream 30 x 45</t>
  </si>
  <si>
    <t>86569096678</t>
  </si>
  <si>
    <t>JLA Home Sunset Ombre Tissue Cover Rose Gold Ombre</t>
  </si>
  <si>
    <t>MCH71-836</t>
  </si>
  <si>
    <t>96675641006</t>
  </si>
  <si>
    <t>SensorPEDIC Gel-Overlay Memory Foam Comfor White Standard</t>
  </si>
  <si>
    <t>RAYON/POLYESTER</t>
  </si>
  <si>
    <t>628961000367</t>
  </si>
  <si>
    <t>Kensington Garden Rosalie Blush Metallic Foil Re Blush 20x20</t>
  </si>
  <si>
    <t>JET9170</t>
  </si>
  <si>
    <t>Madison Park Ruched 20 Square Faux-Fur Dec Red 20x20</t>
  </si>
  <si>
    <t>633125058917</t>
  </si>
  <si>
    <t>Bath Bliss Bath Bliss Curved Shower Rod Satin ONE SIZE</t>
  </si>
  <si>
    <t>5891-SAT</t>
  </si>
  <si>
    <t>IRON</t>
  </si>
  <si>
    <t>885308455017</t>
  </si>
  <si>
    <t>Eclipse Microfiber Thermaback Peacock 42x95</t>
  </si>
  <si>
    <t>10708042X095PCK</t>
  </si>
  <si>
    <t>646998620204</t>
  </si>
  <si>
    <t>CHF Soho Voile Grommet 59 x 108 Winter White 59x108</t>
  </si>
  <si>
    <t>1-804308WI</t>
  </si>
  <si>
    <t>646998630296</t>
  </si>
  <si>
    <t>CHF Soho Voile Grommet 59 x 108 Silver 59x108</t>
  </si>
  <si>
    <t>1-804308SV</t>
  </si>
  <si>
    <t>735732488184</t>
  </si>
  <si>
    <t>VCNY Home Gingham Bunny 20 x 20 Decora Pink 20 x 20</t>
  </si>
  <si>
    <t>BU3-PLW-2020-MA-PINK</t>
  </si>
  <si>
    <t>732994103183</t>
  </si>
  <si>
    <t>Charter Club Elite Fashion Medallion Cotton Desert Bath Towels</t>
  </si>
  <si>
    <t>Madison Park Emilia 50 x 84 Lined Faux-Si Purple 50x84</t>
  </si>
  <si>
    <t>MP40-3552</t>
  </si>
  <si>
    <t>735732570254</t>
  </si>
  <si>
    <t>VCNY Home Nyack 50x84 Panel Natural 50x84</t>
  </si>
  <si>
    <t>NCK-PNL-5084-IN-NATR</t>
  </si>
  <si>
    <t>VICTORIA/TEXTILES FROM EUROPE</t>
  </si>
  <si>
    <t>MICROFIBER</t>
  </si>
  <si>
    <t>735732460036</t>
  </si>
  <si>
    <t>VCNY Home Bamboo 20x28 Pillow White ONE SIZE</t>
  </si>
  <si>
    <t>MF1-PLW-2028-EL-WHIT</t>
  </si>
  <si>
    <t>JLA Home Fiona 72 x 72 Shower Curtain Blush 72X72</t>
  </si>
  <si>
    <t>Madison Park Cecily Printed Grommet 50 x 8 Grey 50x84</t>
  </si>
  <si>
    <t>22415657129</t>
  </si>
  <si>
    <t>Sealy 100 Cotton Extra Firm Support White Queen</t>
  </si>
  <si>
    <t>29927465839</t>
  </si>
  <si>
    <t>No. 918 Mabel 48 x 63 Leaf Print Cur Harbor 48x63</t>
  </si>
  <si>
    <t>29927474084</t>
  </si>
  <si>
    <t>Sun Zero Sun Zero Grant 54 x 72 Door Taupe 54x72</t>
  </si>
  <si>
    <t>JLA Home Orlando 72 x 72 Seersucker S Blush 72X72</t>
  </si>
  <si>
    <t>21864257560</t>
  </si>
  <si>
    <t>Avanti Black and White 16 x 30 Hand M</t>
  </si>
  <si>
    <t>"M</t>
  </si>
  <si>
    <t>32281247157</t>
  </si>
  <si>
    <t>Jay Franco Dreamin Mickey 2-Pack Squishy Multi Color</t>
  </si>
  <si>
    <t>JF24715MCD</t>
  </si>
  <si>
    <t>PRINTED VELBOA WITH SQUISHY FILL</t>
  </si>
  <si>
    <t>32281247102</t>
  </si>
  <si>
    <t>Jay Franco XO Minnie 2pk Squishy Pillow Multi Color</t>
  </si>
  <si>
    <t>JF24710MCD</t>
  </si>
  <si>
    <t>783048117229</t>
  </si>
  <si>
    <t>5th Avenue Lux 5Th Avenue Lux Prism Queen Com Grey Queen</t>
  </si>
  <si>
    <t>CS3396QN5-1300</t>
  </si>
  <si>
    <t>86569300751</t>
  </si>
  <si>
    <t>Intelligent Design Raina 5-Pc. FullQueen Duvet C Whitesilver FullQueen</t>
  </si>
  <si>
    <t>ID12-1821</t>
  </si>
  <si>
    <t>86569919892</t>
  </si>
  <si>
    <t>PERRY QUEEN CS BLUE BASIC</t>
  </si>
  <si>
    <t>WR10-2193</t>
  </si>
  <si>
    <t>COMFORTER/SHAM/PILLOW: COTTON; 8-OZ. POLYESTER COMFORTER FILL; POLYESTER PILLOW FILL</t>
  </si>
  <si>
    <t>675716700706</t>
  </si>
  <si>
    <t>MP LAUREL NAVY KG CS</t>
  </si>
  <si>
    <t>MP10-2241</t>
  </si>
  <si>
    <t>675716438944</t>
  </si>
  <si>
    <t>BAYSIDE F/Q CVT SET BLUEBASIC</t>
  </si>
  <si>
    <t>MP13-374</t>
  </si>
  <si>
    <t>COVERLET, SHAMS AND DECORATIVE PILLOWS: MICROFIBER FROM POLYESTER; COVERLET FILL: COTTON; DECORATIVE PILLOW FILL: POLYESTER</t>
  </si>
  <si>
    <t>672225323907</t>
  </si>
  <si>
    <t>TEAL CAL KING</t>
  </si>
  <si>
    <t>P-21233-CK</t>
  </si>
  <si>
    <t>CALKCOMFOR</t>
  </si>
  <si>
    <t>LUXLEN LLC</t>
  </si>
  <si>
    <t>675716998295</t>
  </si>
  <si>
    <t>LOLA F/Q CS PP BASIC</t>
  </si>
  <si>
    <t>UHK10-0049</t>
  </si>
  <si>
    <t>COMFORTER/SHAM/PILLOW SHELL: COTTON; COMFORTER/PILLOW FILL: POLYESTER</t>
  </si>
  <si>
    <t>608356260880</t>
  </si>
  <si>
    <t>RIB KNIT TW BLANKET WHT</t>
  </si>
  <si>
    <t>100023189TW</t>
  </si>
  <si>
    <t>CHARTER CLUB/SHANGHAI SUNWIN IN</t>
  </si>
  <si>
    <t>86569260451</t>
  </si>
  <si>
    <t>MAGNOLIA CS TTXL GD</t>
  </si>
  <si>
    <t>ID10-1773</t>
  </si>
  <si>
    <t>86569227959</t>
  </si>
  <si>
    <t>MS REV PLUSH AVOCADO KG</t>
  </si>
  <si>
    <t>10028644KG</t>
  </si>
  <si>
    <t>86569069733</t>
  </si>
  <si>
    <t>MS REV PLUSH LT BLUE KG</t>
  </si>
  <si>
    <t>849657000212</t>
  </si>
  <si>
    <t>COCO ORNAMENT DRAPERY RBASIC</t>
  </si>
  <si>
    <t>4802-487</t>
  </si>
  <si>
    <t>ROD DESYNE</t>
  </si>
  <si>
    <t>STEEL ROD AND RESIN FINIALS</t>
  </si>
  <si>
    <t>849657000205</t>
  </si>
  <si>
    <t>4802-287</t>
  </si>
  <si>
    <t>840456038833</t>
  </si>
  <si>
    <t>ETGLN 12 3883</t>
  </si>
  <si>
    <t>POLYCOTTON</t>
  </si>
  <si>
    <t>675716455989</t>
  </si>
  <si>
    <t>LARKSPUR F/Q BL/GR CS</t>
  </si>
  <si>
    <t>BASI10-0202</t>
  </si>
  <si>
    <t>675716866303</t>
  </si>
  <si>
    <t>ALLISON F/Q 4PC DUV SET BASIC</t>
  </si>
  <si>
    <t>MZ12-515</t>
  </si>
  <si>
    <t>DUVET/SHAM/PILLOW COVER: POLYESTER; PILLOW FILL: POLYESTER</t>
  </si>
  <si>
    <t>675716986599</t>
  </si>
  <si>
    <t>NN NARA 10X20 PILLOW NY</t>
  </si>
  <si>
    <t>NS30-3087</t>
  </si>
  <si>
    <t>FABRIC: COTTON; POLYESTER FILL</t>
  </si>
  <si>
    <t>29927473711</t>
  </si>
  <si>
    <t>814652024617</t>
  </si>
  <si>
    <t>MS FRINGE CHNL GOLD BASIC</t>
  </si>
  <si>
    <t>MSCHENILGL</t>
  </si>
  <si>
    <t>MED YELLOW</t>
  </si>
  <si>
    <t>MARTHA STEWART-MMG/SUNWIN-THROWS</t>
  </si>
  <si>
    <t>VISCOSE/ACRYLIC</t>
  </si>
  <si>
    <t>86569111203</t>
  </si>
  <si>
    <t>CRYSTAL SHOWER CURTAIN</t>
  </si>
  <si>
    <t>MCH70-985</t>
  </si>
  <si>
    <t>POLYESTER 105GSM</t>
  </si>
  <si>
    <t>675716714987</t>
  </si>
  <si>
    <t>MP40-2414</t>
  </si>
  <si>
    <t>DARKORANGE</t>
  </si>
  <si>
    <t>628961000329</t>
  </si>
  <si>
    <t>LANA</t>
  </si>
  <si>
    <t>JET9177</t>
  </si>
  <si>
    <t>734737552890</t>
  </si>
  <si>
    <t>CBLE KNT TASL TAUPE50X60</t>
  </si>
  <si>
    <t>FABRIC: ACRYLIC</t>
  </si>
  <si>
    <t>735732725685</t>
  </si>
  <si>
    <t>THR IN A BOX 50X60</t>
  </si>
  <si>
    <t>TRB-THR-5060-MA-NAVY</t>
  </si>
  <si>
    <t>735732725739</t>
  </si>
  <si>
    <t>TRB-THR-5060-MA-RED</t>
  </si>
  <si>
    <t>190714238223</t>
  </si>
  <si>
    <t>SKYLER PILLOW</t>
  </si>
  <si>
    <t>1119626BLU20X20</t>
  </si>
  <si>
    <t>COTTON/FOIL</t>
  </si>
  <si>
    <t>846339077296</t>
  </si>
  <si>
    <t>GENEVA WHITE 84" PANEL BASIC</t>
  </si>
  <si>
    <t>208002084PNG</t>
  </si>
  <si>
    <t>846339077289</t>
  </si>
  <si>
    <t>GENEVA WHITE 63" PANEL BASIC</t>
  </si>
  <si>
    <t>208002063PNG</t>
  </si>
  <si>
    <t>734737535879</t>
  </si>
  <si>
    <t>SUN HEAVENLY WHITE 21X34</t>
  </si>
  <si>
    <t>R4395AN5322134</t>
  </si>
  <si>
    <t>838810005638</t>
  </si>
  <si>
    <t>6L WHITE PLASTIC CAN BASIC</t>
  </si>
  <si>
    <t>CW1318</t>
  </si>
  <si>
    <t>SIMPLEHUMAN</t>
  </si>
  <si>
    <t>PLASTIC</t>
  </si>
  <si>
    <t>679610786200</t>
  </si>
  <si>
    <t>PLUSH THROW BEIGE BASIC</t>
  </si>
  <si>
    <t>190714257729</t>
  </si>
  <si>
    <t>AVOCUDDLE PILLOW</t>
  </si>
  <si>
    <t>1120587MULTI14X24</t>
  </si>
  <si>
    <t>80166090213</t>
  </si>
  <si>
    <t>JS BONNEY 27X45 BLK &amp; WHT</t>
  </si>
  <si>
    <t>09021E</t>
  </si>
  <si>
    <t>81806448937</t>
  </si>
  <si>
    <t>RAW SILK CHARCOAL 84 BASIC</t>
  </si>
  <si>
    <t>FZR02KJB2CHC</t>
  </si>
  <si>
    <t>86569296672</t>
  </si>
  <si>
    <t>MAIBLE CSS K BG</t>
  </si>
  <si>
    <t>MPE10-862</t>
  </si>
  <si>
    <t>675716320034</t>
  </si>
  <si>
    <t>TIBURON Q COMPBD SET TP</t>
  </si>
  <si>
    <t>MP10-118</t>
  </si>
  <si>
    <t>COMFORTER/SHAM/EUROPEAN SHAM/BEDSKIRT/PILLOWS: POLYESTER; SHEET SET: COTTON; THREAD COUNT: 200; COMFORTER FILL: POLYESTER 270 GRAMS PER SQUARE METER; PILLOW FILL: POLYESTER</t>
  </si>
  <si>
    <t>857525008123</t>
  </si>
  <si>
    <t>PG STOMACH PLW SQ 2PK BASIC</t>
  </si>
  <si>
    <t>PG-2PDAPS-NA-J</t>
  </si>
  <si>
    <t>PILLOW GUY INC</t>
  </si>
  <si>
    <t>PILLOW: POLYESTER/NYLON; EMBOSSED HYPO-ALLERGENIC SHELL, DOWN-ALTERNATIVE; POLY GEL FIBER FILLED PILLOW PROTECTOR: 233-THREAD COUNT 100% COTTON PERCALE</t>
  </si>
  <si>
    <t>848742081365</t>
  </si>
  <si>
    <t>ROSALIE WINDOW CURTAINS</t>
  </si>
  <si>
    <t>16T003909</t>
  </si>
  <si>
    <t>POLYESTER, COTTON, LINEN</t>
  </si>
  <si>
    <t>190714195380</t>
  </si>
  <si>
    <t>THANOS F/Q 4PC COMF SET BASIC</t>
  </si>
  <si>
    <t>1117414GREYFQ</t>
  </si>
  <si>
    <t>679610793451</t>
  </si>
  <si>
    <t>JANNA 8 PC QUEEN</t>
  </si>
  <si>
    <t>FIBER: 100% POLYESTER EXCLUSIVE OF DECORATION, FILLING: 100% POLYESTER</t>
  </si>
  <si>
    <t>848742058213</t>
  </si>
  <si>
    <t>REYNA WINDOW CURTAIN WHI</t>
  </si>
  <si>
    <t>16T001460</t>
  </si>
  <si>
    <t>95 2.5</t>
  </si>
  <si>
    <t>706255875782</t>
  </si>
  <si>
    <t>HOTEL FINEST ROBE BASIC</t>
  </si>
  <si>
    <t>HTLFNRMLS</t>
  </si>
  <si>
    <t>675716455309</t>
  </si>
  <si>
    <t>MP LAUREL IVORY QN CS</t>
  </si>
  <si>
    <t>MP10-432</t>
  </si>
  <si>
    <t>840444137661</t>
  </si>
  <si>
    <t>CALLA LILY BLACK QUEEN 7</t>
  </si>
  <si>
    <t>DS3761-BIB-MC</t>
  </si>
  <si>
    <t>CHIC HOME DESIGN LLC</t>
  </si>
  <si>
    <t>FABRIC: 100% POLYESTER MICROFIBER</t>
  </si>
  <si>
    <t>64247011038</t>
  </si>
  <si>
    <t>RAWSILK36054X96 BASIC</t>
  </si>
  <si>
    <t>EH7901-54X96</t>
  </si>
  <si>
    <t>95 DBL</t>
  </si>
  <si>
    <t>783048109712</t>
  </si>
  <si>
    <t>CC FLORENCE K CS</t>
  </si>
  <si>
    <t>CS3245KG-1500</t>
  </si>
  <si>
    <t>848742000977</t>
  </si>
  <si>
    <t>PRIMA GRAY/PURPLE WINDOW</t>
  </si>
  <si>
    <t>C00977Q12</t>
  </si>
  <si>
    <t>47724305486</t>
  </si>
  <si>
    <t>NM BUCK50X84 PNL BURG BASIC</t>
  </si>
  <si>
    <t>X42702684ZBG</t>
  </si>
  <si>
    <t>783048107718</t>
  </si>
  <si>
    <t>TS TREY FQ CS</t>
  </si>
  <si>
    <t>CS3227FQ-1500</t>
  </si>
  <si>
    <t>843567104114</t>
  </si>
  <si>
    <t>SARATOGA PANEL BASIC</t>
  </si>
  <si>
    <t>W0051052084TAU111MC</t>
  </si>
  <si>
    <t>LUX&amp;LIVING/SILK HOME INC</t>
  </si>
  <si>
    <t>732994892766</t>
  </si>
  <si>
    <t>DEC 14X48 LUMBER</t>
  </si>
  <si>
    <t>COTTON; FILLING: POLYESTER</t>
  </si>
  <si>
    <t>675716569044</t>
  </si>
  <si>
    <t>SARASOTA F/Q TAUPE CS</t>
  </si>
  <si>
    <t>MP10-1259</t>
  </si>
  <si>
    <t>675716900014</t>
  </si>
  <si>
    <t>ELLIE T AQUA COMF SET</t>
  </si>
  <si>
    <t>ID10-1111</t>
  </si>
  <si>
    <t>FABRIC: POLYESTER 85 GSM; POLYESTER FILL</t>
  </si>
  <si>
    <t>722885478292</t>
  </si>
  <si>
    <t>HW DECLAN 20X20" DP BASIC</t>
  </si>
  <si>
    <t>8451-PILLW BLUE</t>
  </si>
  <si>
    <t>17X17</t>
  </si>
  <si>
    <t>HOMEWEAR/SAM HEDAYA CORP</t>
  </si>
  <si>
    <t>675716822477</t>
  </si>
  <si>
    <t>MP QUEBEC 20X20 PL BL</t>
  </si>
  <si>
    <t>MP30-3407</t>
  </si>
  <si>
    <t>26865885293</t>
  </si>
  <si>
    <t>CAMERON:30X36 TIER SET/2BASIC</t>
  </si>
  <si>
    <t>38956GRY</t>
  </si>
  <si>
    <t>RAYON/LINEN</t>
  </si>
  <si>
    <t>675716467289</t>
  </si>
  <si>
    <t>MP DUKE 50X60 THROW BRN</t>
  </si>
  <si>
    <t>MP50-455</t>
  </si>
  <si>
    <t>BODY: POLYESTER;</t>
  </si>
  <si>
    <t>732994266277</t>
  </si>
  <si>
    <t>CC LEAVES 19.3X34 BASIC</t>
  </si>
  <si>
    <t>POLYESTER / SKID RESISTANT LATEX BACKING</t>
  </si>
  <si>
    <t>732994266314</t>
  </si>
  <si>
    <t>CC STRIPE RUG 19.3X3 BASIC</t>
  </si>
  <si>
    <t>CCSTP1X3</t>
  </si>
  <si>
    <t>FRONT: POLYESTER; BACK: SKID RESISTANT LATEX</t>
  </si>
  <si>
    <t>86569901880</t>
  </si>
  <si>
    <t>MP DUKE 20X20 PILLOW BS</t>
  </si>
  <si>
    <t>MP30-4963</t>
  </si>
  <si>
    <t>FAUX-FUR FACE: POLYESTER 300 GRAMS PER SQUARE METER; FAUX-FUR REVERSE: POLYESTER 180 GRAMS PER SQUARE METER; POLYESTER FILL</t>
  </si>
  <si>
    <t>26865885316</t>
  </si>
  <si>
    <t>CAMERON:60X15 VALANCE BASIC</t>
  </si>
  <si>
    <t>38957GRY</t>
  </si>
  <si>
    <t>783048982858</t>
  </si>
  <si>
    <t>TW PAINTED PATCHWORK 3PC</t>
  </si>
  <si>
    <t>CS1194TW-1540</t>
  </si>
  <si>
    <t>POLYESTER; FILL POLYESTER FIBERS</t>
  </si>
  <si>
    <t>675716791148</t>
  </si>
  <si>
    <t>PC PARKER 20X20 PL NY</t>
  </si>
  <si>
    <t>BASI30-0432</t>
  </si>
  <si>
    <t>791551870814</t>
  </si>
  <si>
    <t>HVYWGHT FLUFFY PURPLE TH</t>
  </si>
  <si>
    <t>E5107-T1-03P</t>
  </si>
  <si>
    <t>80166182284</t>
  </si>
  <si>
    <t>BAC GARDEN GOLD 20X32</t>
  </si>
  <si>
    <t>18228E</t>
  </si>
  <si>
    <t>190714293970</t>
  </si>
  <si>
    <t>BLESDBEYONDMEASRE BASIC</t>
  </si>
  <si>
    <t>1122751SPICE20X20</t>
  </si>
  <si>
    <t>675716833312</t>
  </si>
  <si>
    <t>MP OGEE 60X70 THROW BK</t>
  </si>
  <si>
    <t>MP50-3509</t>
  </si>
  <si>
    <t>FABRIC: POLYESTER 220 GRAMS PER SQUARE METER</t>
  </si>
  <si>
    <t>735732743825</t>
  </si>
  <si>
    <t>TXTR HRBNE THRW GREY BASIC</t>
  </si>
  <si>
    <t>T3X-THR-5060-MA-ANTR</t>
  </si>
  <si>
    <t>735732743801</t>
  </si>
  <si>
    <t>SHPA HRBNE THRW BLU BASIC</t>
  </si>
  <si>
    <t>HER-THR-5060-MA-INSB</t>
  </si>
  <si>
    <t>735732743818</t>
  </si>
  <si>
    <t>TXTR HRBNE THRW WHT BASIC</t>
  </si>
  <si>
    <t>T3X-THR-5060-MA-ANTQ</t>
  </si>
  <si>
    <t>735732106439</t>
  </si>
  <si>
    <t>VC DUBLIN DP RED BASIC</t>
  </si>
  <si>
    <t>DUB1818RD</t>
  </si>
  <si>
    <t>735732106477</t>
  </si>
  <si>
    <t>VC Dublin DP GRAY BASIC</t>
  </si>
  <si>
    <t>DUB1818GV</t>
  </si>
  <si>
    <t>21864366156</t>
  </si>
  <si>
    <t>AV SNOWMAN GTHR HAND TWLBASIC</t>
  </si>
  <si>
    <t>679610801897</t>
  </si>
  <si>
    <t>MERMAID PILLOW REINDEER</t>
  </si>
  <si>
    <t>679610782875</t>
  </si>
  <si>
    <t>MERMAID DEC WHITE/WHITE BASIC</t>
  </si>
  <si>
    <t>706254463317</t>
  </si>
  <si>
    <t>HTL MC HND PEAR BASIC</t>
  </si>
  <si>
    <t>HTLMCHPER</t>
  </si>
  <si>
    <t>750105163079</t>
  </si>
  <si>
    <t>TB LAST ACT QUILTED PI</t>
  </si>
  <si>
    <t>FEDPG350S</t>
  </si>
  <si>
    <t>848742092217</t>
  </si>
  <si>
    <t>BELLA CS</t>
  </si>
  <si>
    <t>16T004796</t>
  </si>
  <si>
    <t>86569272225</t>
  </si>
  <si>
    <t>AUDEN CS FQ AQ</t>
  </si>
  <si>
    <t>UH10-2282</t>
  </si>
  <si>
    <t>COTTON WITH POLYESTER FILLING</t>
  </si>
  <si>
    <t>86569956767</t>
  </si>
  <si>
    <t>CAPE COD COMSET Q BL</t>
  </si>
  <si>
    <t>MP10-5281</t>
  </si>
  <si>
    <t>COMFORTER/SHAM: COTTON, REVERSES TO COTTON/POLYESTER; THREAD COUNT: 210, REVERSES TO 180; PILLOW: COTTON/POLYESTER; POLYESTER FILL</t>
  </si>
  <si>
    <t>675716535186</t>
  </si>
  <si>
    <t>BLAIRE Q COMF SET GREY</t>
  </si>
  <si>
    <t>MP10-948</t>
  </si>
  <si>
    <t>FAUX-SILK COMFORTER AND SHAM FACE: POLYESTER; MICROFIBER FROM POLYESTER REVERSE; BEDSKIRT: POLYESTER; DECORATIVE PILLOWS: POLYESTER; POLYESTER FILL; COMFORTER FILL: POLYESTER 8-OZ. PER SQUARE YARD</t>
  </si>
  <si>
    <t>784851507221</t>
  </si>
  <si>
    <t>COTTON KING WHITE C BASIC</t>
  </si>
  <si>
    <t>COTTON KING WHITE CO</t>
  </si>
  <si>
    <t>ELEGANT COMFORT/BESPOLITAN INC</t>
  </si>
  <si>
    <t>42075584528</t>
  </si>
  <si>
    <t>SAFARI ANIMALS</t>
  </si>
  <si>
    <t>2-8706C1GR</t>
  </si>
  <si>
    <t>191956141043</t>
  </si>
  <si>
    <t>BOHEMIAN FLOOR PILLOW BASIC</t>
  </si>
  <si>
    <t>64558-FLPR23</t>
  </si>
  <si>
    <t>DENY DESIGNS</t>
  </si>
  <si>
    <t>POLYESTER COVER AND FILL</t>
  </si>
  <si>
    <t>706257357798</t>
  </si>
  <si>
    <t>LINEN ROSE DP 20X20</t>
  </si>
  <si>
    <t>LQ16DP1790</t>
  </si>
  <si>
    <t>HOTEL COLLECTION-EDI/FASHION ACCESS</t>
  </si>
  <si>
    <t>800014141221</t>
  </si>
  <si>
    <t>FARO QUN 8PC SET MULTI BASIC</t>
  </si>
  <si>
    <t>18531703AJ</t>
  </si>
  <si>
    <t>635983500942</t>
  </si>
  <si>
    <t>SIGNATURE PLUSH ALLE BASIC</t>
  </si>
  <si>
    <t>BMI10654L2K</t>
  </si>
  <si>
    <t>SHELL: 220 THREAD COUNT POLYESTER MICROFIBER, FILL: 100% POLY FIBER DOWN ALTERNATIVE FIBER</t>
  </si>
  <si>
    <t>675716456016</t>
  </si>
  <si>
    <t>LARKSPUR K BR/SD CS</t>
  </si>
  <si>
    <t>BASI10-0197</t>
  </si>
  <si>
    <t>FABRIC: POLYESTER/ FILL: POLYESTER</t>
  </si>
  <si>
    <t>191790011809</t>
  </si>
  <si>
    <t>IVRY T950 XD GRAYSON QN</t>
  </si>
  <si>
    <t>22212103003AQT</t>
  </si>
  <si>
    <t>86569070081</t>
  </si>
  <si>
    <t>MS REV PLUSH CREAM KG</t>
  </si>
  <si>
    <t>675716866280</t>
  </si>
  <si>
    <t>ALLISON F/Q 4PC COMF SETBASIC</t>
  </si>
  <si>
    <t>MZ10-513</t>
  </si>
  <si>
    <t>COMFORTER/SHAM/PILLOW: POLYESTER; COMFORTER/SHAM FILL: POLYESTER 200 GRAMS PER SQUARE METER; PILLOW FILL: POLYESTER</t>
  </si>
  <si>
    <t>735732103841</t>
  </si>
  <si>
    <t>CARMEN 3PC DVT QU</t>
  </si>
  <si>
    <t>CMN-3DV-QUEN-OV-NAVY</t>
  </si>
  <si>
    <t>636189768648</t>
  </si>
  <si>
    <t>TWO TONE BLACK DEC</t>
  </si>
  <si>
    <t>86569902788</t>
  </si>
  <si>
    <t>MIRAGE PANEL 50X84 CPGE BASIC</t>
  </si>
  <si>
    <t>SS40-0013</t>
  </si>
  <si>
    <t>LT/PAS YEL</t>
  </si>
  <si>
    <t>675716759681</t>
  </si>
  <si>
    <t>MP ZURI 60X70 TRW GR BASIC</t>
  </si>
  <si>
    <t>MP50-2830</t>
  </si>
  <si>
    <t>810029192934</t>
  </si>
  <si>
    <t>4X A3UJ Q1PB</t>
  </si>
  <si>
    <t>4X-A3UJ-Q1PB</t>
  </si>
  <si>
    <t>SAKATTA INC</t>
  </si>
  <si>
    <t>86569904676</t>
  </si>
  <si>
    <t>ELENA 38X46 VLC CHAMP</t>
  </si>
  <si>
    <t>MP41-4952</t>
  </si>
  <si>
    <t>FAUX-SILK FABRIC: POLYESTER</t>
  </si>
  <si>
    <t>675716772574</t>
  </si>
  <si>
    <t>MP DUKE 20X20 PILLOW BR</t>
  </si>
  <si>
    <t>MP30-2999</t>
  </si>
  <si>
    <t>40773087433</t>
  </si>
  <si>
    <t>MS 21X34 STRPNDL RUG BASIC</t>
  </si>
  <si>
    <t>34X21</t>
  </si>
  <si>
    <t>MARTHA STEWART-EDI/MOHAWK</t>
  </si>
  <si>
    <t>675716744045</t>
  </si>
  <si>
    <t>ID MICLTPLS 60X70 TRW AQ</t>
  </si>
  <si>
    <t>ID50-842</t>
  </si>
  <si>
    <t>882864487698</t>
  </si>
  <si>
    <t>FRENCH PERLE LOTION BASIC</t>
  </si>
  <si>
    <t>L844455</t>
  </si>
  <si>
    <t>LENOX</t>
  </si>
  <si>
    <t>EARTHENWARE</t>
  </si>
  <si>
    <t>86569928269</t>
  </si>
  <si>
    <t>HAYDEN T DUVSET GREY</t>
  </si>
  <si>
    <t>MPE12-642</t>
  </si>
  <si>
    <t>FABRIC: POLYESTER 85 GSM</t>
  </si>
  <si>
    <t>21864376797</t>
  </si>
  <si>
    <t>HAPPY PAWLIDAYS HOOKS</t>
  </si>
  <si>
    <t>13323G</t>
  </si>
  <si>
    <t>RESIN</t>
  </si>
  <si>
    <t>191790011793</t>
  </si>
  <si>
    <t>GRY 950 CVC GRAYSON SPC</t>
  </si>
  <si>
    <t>22202206082AQT</t>
  </si>
  <si>
    <t>PILLOWCASE</t>
  </si>
  <si>
    <t>46249544318</t>
  </si>
  <si>
    <t>KSNY CHATTAM STRIPE POOLSD HA</t>
  </si>
  <si>
    <t>279CHAT-HD-P3-D6</t>
  </si>
  <si>
    <t>KATE SPADE/HIMATSINGKA AMERICA</t>
  </si>
  <si>
    <t>680656163313</t>
  </si>
  <si>
    <t>BALL18BLACK BASIC</t>
  </si>
  <si>
    <t>30409-BK18</t>
  </si>
  <si>
    <t>DECOPOLITAN/BEME INTERNATIONAL LLC</t>
  </si>
  <si>
    <t>STEEL</t>
  </si>
  <si>
    <t>96675200456</t>
  </si>
  <si>
    <t>MICROSHIELD JUMBO PP PAIBASIC</t>
  </si>
  <si>
    <t>240TC POLYESTER/NYLON</t>
  </si>
  <si>
    <t>732994993647</t>
  </si>
  <si>
    <t>CC ELITE BATH</t>
  </si>
  <si>
    <t>CCELITEB</t>
  </si>
  <si>
    <t>680656163221</t>
  </si>
  <si>
    <t>BALL18SILVER BASIC</t>
  </si>
  <si>
    <t>30409-SL18</t>
  </si>
  <si>
    <t>99446740694</t>
  </si>
  <si>
    <t>GREENPUMPKIN18X30RUG</t>
  </si>
  <si>
    <t>ACCE032JPGRN018030</t>
  </si>
  <si>
    <t>191790011151</t>
  </si>
  <si>
    <t>JEWL T950 GRAYSON KG</t>
  </si>
  <si>
    <t>22222104252AQT</t>
  </si>
  <si>
    <t>191790011144</t>
  </si>
  <si>
    <t>JEWL T950 GRAYSON QN</t>
  </si>
  <si>
    <t>22222103252AQT</t>
  </si>
  <si>
    <t>191790011106</t>
  </si>
  <si>
    <t>NEUT T950 GRAYSON QN</t>
  </si>
  <si>
    <t>22222103099AQT</t>
  </si>
  <si>
    <t>843020115299</t>
  </si>
  <si>
    <t>RACETRACK 2 PC WHITE</t>
  </si>
  <si>
    <t>C1223-BRTRK2-WH</t>
  </si>
  <si>
    <t>TEXTILE DECOR USA INC</t>
  </si>
  <si>
    <t>840053098568</t>
  </si>
  <si>
    <t>CLEO TW CO 68X90 TU</t>
  </si>
  <si>
    <t>SS-QUCLTWTU</t>
  </si>
  <si>
    <t>636193847438</t>
  </si>
  <si>
    <t>WOVEN TEXT FQ DUV</t>
  </si>
  <si>
    <t>WT11QD790</t>
  </si>
  <si>
    <t>706255241266</t>
  </si>
  <si>
    <t>ETHRL QN CVLT</t>
  </si>
  <si>
    <t>100041795QN</t>
  </si>
  <si>
    <t>732997452318</t>
  </si>
  <si>
    <t>SILKY SATIN FQ QLT BASIC</t>
  </si>
  <si>
    <t>100064584FQ</t>
  </si>
  <si>
    <t>726895249859</t>
  </si>
  <si>
    <t>525TC 20X20 DEC WHT</t>
  </si>
  <si>
    <t>T525WDP1</t>
  </si>
  <si>
    <t>BETTER TRENDS LLC</t>
  </si>
  <si>
    <t>86569005632</t>
  </si>
  <si>
    <t>RAINA DVS K/CK AQ/SV</t>
  </si>
  <si>
    <t>ID12-1389</t>
  </si>
  <si>
    <t>FRONT: POLYESTER/COTTON; BACK: COTTON</t>
  </si>
  <si>
    <t>86569114181</t>
  </si>
  <si>
    <t>MARSEILLE F/Q CS GY/</t>
  </si>
  <si>
    <t>5DS10-0174</t>
  </si>
  <si>
    <t>FABRIC: COTTON; THREAD COUNT: 300; POLYESTER FILL</t>
  </si>
  <si>
    <t>191956141029</t>
  </si>
  <si>
    <t>PINKY PALMS OBLONG BASIC</t>
  </si>
  <si>
    <t>63500-OBPI23</t>
  </si>
  <si>
    <t>732994584524</t>
  </si>
  <si>
    <t>MINGLED YS THROW BASIC</t>
  </si>
  <si>
    <t>HOTEL BY C CLUB-EDI/RWI/KADRI MILLS</t>
  </si>
  <si>
    <t>734737592650</t>
  </si>
  <si>
    <t>ESTELLE 6PC TXL CS</t>
  </si>
  <si>
    <t>20554022A</t>
  </si>
  <si>
    <t>191956004591</t>
  </si>
  <si>
    <t>J MALDONADO STONE TP BASIC</t>
  </si>
  <si>
    <t>59993-OTHRP16</t>
  </si>
  <si>
    <t>16X16</t>
  </si>
  <si>
    <t>887522864590</t>
  </si>
  <si>
    <t>PATTERN STATE ALPINE TP BASIC</t>
  </si>
  <si>
    <t>60336-OTHRP16</t>
  </si>
  <si>
    <t>628961001029</t>
  </si>
  <si>
    <t>IDEN</t>
  </si>
  <si>
    <t>JET9427</t>
  </si>
  <si>
    <t>COTTON/ACRYLIC/POLYESTER</t>
  </si>
  <si>
    <t>86569150691</t>
  </si>
  <si>
    <t>MIRAGE 50X108 PANEL BASIC</t>
  </si>
  <si>
    <t>SS40-0103</t>
  </si>
  <si>
    <t>718498908585</t>
  </si>
  <si>
    <t>SHVL GREYSNE KG BLKT BASIC</t>
  </si>
  <si>
    <t>MFNBKKGGRS</t>
  </si>
  <si>
    <t>86569913791</t>
  </si>
  <si>
    <t>REV SHERPA PLW BGD BASIC</t>
  </si>
  <si>
    <t>MCC32-470</t>
  </si>
  <si>
    <t>80166545430</t>
  </si>
  <si>
    <t>BAC ED CASS 28X46 MULTI</t>
  </si>
  <si>
    <t>54543E</t>
  </si>
  <si>
    <t>MICRO FLANNEL/SHAVEL ASSOCIATES INC</t>
  </si>
  <si>
    <t>86569896742</t>
  </si>
  <si>
    <t>MP EDINA 20X20 PILLOW IY</t>
  </si>
  <si>
    <t>MP30-4830</t>
  </si>
  <si>
    <t>WONDER WOOL/JLA HOME/E &amp; E CO LTD</t>
  </si>
  <si>
    <t>86569017918</t>
  </si>
  <si>
    <t>BROOKLYN 42X63 WP IY</t>
  </si>
  <si>
    <t>UH40-2165</t>
  </si>
  <si>
    <t>TOP: NYLON; BOTTOM: LATEX</t>
  </si>
  <si>
    <t>190714325497</t>
  </si>
  <si>
    <t>TASSLED HEART PLW</t>
  </si>
  <si>
    <t>1123320MULTI20X20</t>
  </si>
  <si>
    <t>86569157812</t>
  </si>
  <si>
    <t>ATLANTIC MOSAIC TISSUE</t>
  </si>
  <si>
    <t>MCH71-1102</t>
  </si>
  <si>
    <t>190714113117</t>
  </si>
  <si>
    <t>ELLIS PILLOW</t>
  </si>
  <si>
    <t>1111643COR2222</t>
  </si>
  <si>
    <t>22X22</t>
  </si>
  <si>
    <t>FAUX-FUR FACE: ACRYLIC/POLYESTER; FAUX-FUR REVERSE: POLYESTER; FEATHER/DOWN FILL</t>
  </si>
  <si>
    <t>706257209011</t>
  </si>
  <si>
    <t>GEO DEC 18X18 MINT</t>
  </si>
  <si>
    <t>D1818GEMNT</t>
  </si>
  <si>
    <t>80166806104</t>
  </si>
  <si>
    <t>JS CARLIN PURPLE 21X34 BASIC</t>
  </si>
  <si>
    <t>783048998873</t>
  </si>
  <si>
    <t>TSE BLACK F SHEET SET</t>
  </si>
  <si>
    <t>SS1658BKFU-4700</t>
  </si>
  <si>
    <t>734737579224</t>
  </si>
  <si>
    <t>MULTI KANE 36 X 72</t>
  </si>
  <si>
    <t>T19005M233672</t>
  </si>
  <si>
    <t>675716932916</t>
  </si>
  <si>
    <t>AMHERST 50X18 WV GY</t>
  </si>
  <si>
    <t>MP41-4377</t>
  </si>
  <si>
    <t>190714113537</t>
  </si>
  <si>
    <t>FIERCE LEOPARD PILLOW</t>
  </si>
  <si>
    <t>1112062MLT2020</t>
  </si>
  <si>
    <t>732994215756</t>
  </si>
  <si>
    <t>SPICE PAISLEY EURO SHAM</t>
  </si>
  <si>
    <t>100022744ER</t>
  </si>
  <si>
    <t>732994477284</t>
  </si>
  <si>
    <t>BOX PLAID SHAM</t>
  </si>
  <si>
    <t>BOXPLDST</t>
  </si>
  <si>
    <t>86569096623</t>
  </si>
  <si>
    <t>ATLANTIC MOSAIC TRAY</t>
  </si>
  <si>
    <t>MCH71-831</t>
  </si>
  <si>
    <t>734737535824</t>
  </si>
  <si>
    <t>SUN RIPPL GEM TAN 17X24</t>
  </si>
  <si>
    <t>R4203AN5311724</t>
  </si>
  <si>
    <t>24X2X17</t>
  </si>
  <si>
    <t>732994459433</t>
  </si>
  <si>
    <t>CHENILLE MED SHAM</t>
  </si>
  <si>
    <t>CHNLLIVST</t>
  </si>
  <si>
    <t>FABRIC: PIMA COTTON</t>
  </si>
  <si>
    <t>732994103442</t>
  </si>
  <si>
    <t>CC LEAVES WASH</t>
  </si>
  <si>
    <t>79465029659</t>
  </si>
  <si>
    <t>UTICA ESSENTIALS TWL/WC BASIC</t>
  </si>
  <si>
    <t>GH41T260692</t>
  </si>
  <si>
    <t>GLASS</t>
  </si>
  <si>
    <t>783048126870</t>
  </si>
  <si>
    <t>BL CHASE FQ CS</t>
  </si>
  <si>
    <t>CS3584FQ-1500</t>
  </si>
  <si>
    <t>735732934315</t>
  </si>
  <si>
    <t>HEART PAPER SHAG RED</t>
  </si>
  <si>
    <t>HPG-RUG-3636-IN-RIBR</t>
  </si>
  <si>
    <t>735732534829</t>
  </si>
  <si>
    <t>DUBLIN 14X27 PILLOW</t>
  </si>
  <si>
    <t>DUI-PLW-1427-I2-SILV</t>
  </si>
  <si>
    <t>675716837211</t>
  </si>
  <si>
    <t>SERENDIPITY Q CS CORAL</t>
  </si>
  <si>
    <t>MP10-3537</t>
  </si>
  <si>
    <t>COMFORTER/SHAM: 180 THREAD COUNT COTTON, COTTON/POLYESTER REVERSE; BEDSKIRT: 180 THREAD COUNT COTTON/POLYESTER (DROP); PLATFORM: POLYESTER; PILLOW: 180 THREAD COUNT COTTON/POLYESTER, POLYESTER FILL; COMFORTER FILL: POLYESTER 270 GRAMS PER SQUARE METER</t>
  </si>
  <si>
    <t>675716713089</t>
  </si>
  <si>
    <t>CARLOW K COMF SET GREY</t>
  </si>
  <si>
    <t>MP10-2374</t>
  </si>
  <si>
    <t>COMFORTER AND SHAMS: POLYESTER; BEDSKIRT DROP: POLYONI; POLYESTER PLATFORM; DECORATIVE PILLOWS: POLYESTER; POLYESTER FILL; COMFORTER FILL: POLYESTER 270 GRAMS PER SQUARE METER</t>
  </si>
  <si>
    <t>86569003287</t>
  </si>
  <si>
    <t>BROOKLYN CMFSET F/Q GY</t>
  </si>
  <si>
    <t>UH10-2160</t>
  </si>
  <si>
    <t>COMFORTER/SHAM: COTTON JACQUARD FACE THREAD COUNT: COTTON REVERSE THREAD COUNT: DECORATIVE PILLOW: COTTON PERCALE EUROPEAN SHAM: COTTON WITH QUILTING TOP COMFORTER/PILLOW FILL: POLYESTER</t>
  </si>
  <si>
    <t>675716906467</t>
  </si>
  <si>
    <t>CENTRAL PARK KG CCS SS</t>
  </si>
  <si>
    <t>MPE10-384</t>
  </si>
  <si>
    <t>COMFORTER/SHAM/BEDSKIRT: POLYESTER 85 GRAMS PER SQUARE METER; PILLOW (COVER): POLYESTER; SHEETS: COTTON; THREAD COUNT: 180; COMFORTER FILL: POLYESTER 250 GRAMS PER SQUARE METER; PILLOW FILL: POLYESTER</t>
  </si>
  <si>
    <t>675716583941</t>
  </si>
  <si>
    <t>AVALON CK CS SS GY</t>
  </si>
  <si>
    <t>MPE10-044</t>
  </si>
  <si>
    <t>COMFORTER/SHAM/BEDSKIRT: POLYESTER 85 GRAMS PER SQUARE METER; PILLOW: POLYESTER; SHEETS: COTTON; THREAD COUNT: 180; COMFORTER FILL: POLYESTER 250 GRAMS PER SQUARE METER; PILLOW FILL: POLYESTER</t>
  </si>
  <si>
    <t>675716320119</t>
  </si>
  <si>
    <t>AMHERST Q COMF SET KHAKI</t>
  </si>
  <si>
    <t>MP10-121</t>
  </si>
  <si>
    <t>COMFORTER/SHAM/BEDSKIRT/PILLOW COVER: POLYESTER; COMFORTER/PILLOW FILL: POLYESTER</t>
  </si>
  <si>
    <t>675716904982</t>
  </si>
  <si>
    <t>BROOKLYN F/Q 7PC DUV SETBASIC</t>
  </si>
  <si>
    <t>UH12-0202</t>
  </si>
  <si>
    <t>DUVET/SHAM: COTTON; PILLOW/EUROPEAN SHAM: COTTON; PILLOW FILL: POLYESTER</t>
  </si>
  <si>
    <t>857525008116</t>
  </si>
  <si>
    <t>PG SIDE BACK PLW K BASIC</t>
  </si>
  <si>
    <t>PG-1DAPF-NA-K</t>
  </si>
  <si>
    <t>PILLOW: POLYESTER/NYLON; EMBOSSED HYPO-ALLERGENIC SHELL, DOWN-ALTERNATIVE; POLY GEL FIBER FILLED PILLOW PROTECTOR: THREAD COUNT COTTON PERCALE</t>
  </si>
  <si>
    <t>86569023261</t>
  </si>
  <si>
    <t>MPE MAIBLE CMFSET F AQ</t>
  </si>
  <si>
    <t>MPE10-728</t>
  </si>
  <si>
    <t>COMFORTER/SHAM/BEDSKIRT/PILLOW: POLYESTER; SHEET SET: COTTON; COMFORTER/PILLOW FILL: POLYESTER 75 GSM</t>
  </si>
  <si>
    <t>675716579296</t>
  </si>
  <si>
    <t>MP LAUREL GREY QN CS</t>
  </si>
  <si>
    <t>MP10-1328</t>
  </si>
  <si>
    <t>706258089551</t>
  </si>
  <si>
    <t>DSK 550 SLD KDS IVY</t>
  </si>
  <si>
    <t>DLLSLKDSIVR</t>
  </si>
  <si>
    <t>SUPIMA® COTTON</t>
  </si>
  <si>
    <t>706256793399</t>
  </si>
  <si>
    <t>DISTRESSED CHEVRON DP 18BASIC</t>
  </si>
  <si>
    <t>DI16DP1790</t>
  </si>
  <si>
    <t>783048037411</t>
  </si>
  <si>
    <t>HOTEL B FQ 7PC W/BLH COM</t>
  </si>
  <si>
    <t>CS2182BSFQ7-00</t>
  </si>
  <si>
    <t>675716986360</t>
  </si>
  <si>
    <t>ALTON T RED/BL COMF SET BASIC</t>
  </si>
  <si>
    <t>WR10-2064</t>
  </si>
  <si>
    <t>842941103897</t>
  </si>
  <si>
    <t>VENICEDUVETQUIV</t>
  </si>
  <si>
    <t>TRIBECA LIVING/MARWAH CORPORATION</t>
  </si>
  <si>
    <t>FRONT: 260-GSM POLYESTER VELVET. REVERSE: 110-GSM MICROFIBER.</t>
  </si>
  <si>
    <t>86569896711</t>
  </si>
  <si>
    <t>MP EDINA 50X60 THROW GY</t>
  </si>
  <si>
    <t>MP50-4827</t>
  </si>
  <si>
    <t>FAUX-FUR FACE: ACRYLIC/POLYESTER; FAUX-FUR REVERSE: POLYESTER</t>
  </si>
  <si>
    <t>KHLOE WP 50X84" WTSR</t>
  </si>
  <si>
    <t>750105118062</t>
  </si>
  <si>
    <t>HT SUPIMA MED SQ</t>
  </si>
  <si>
    <t>10011959QN</t>
  </si>
  <si>
    <t>608381629577</t>
  </si>
  <si>
    <t>DEC LLAMA DEC</t>
  </si>
  <si>
    <t>DECLLAMA</t>
  </si>
  <si>
    <t>734737592827</t>
  </si>
  <si>
    <t>MARTINA TW 6PC COMF</t>
  </si>
  <si>
    <t>675716488291</t>
  </si>
  <si>
    <t>MP EMILIA BLUE50X84 BASIC</t>
  </si>
  <si>
    <t>WIN40-117</t>
  </si>
  <si>
    <t>675716772581</t>
  </si>
  <si>
    <t>MP DUKE 20X20 PILLOW GY</t>
  </si>
  <si>
    <t>MP30-3000</t>
  </si>
  <si>
    <t>675716749361</t>
  </si>
  <si>
    <t>AUBREY 50X18 VLC BURGUN</t>
  </si>
  <si>
    <t>MP41-2714</t>
  </si>
  <si>
    <t>646760097807</t>
  </si>
  <si>
    <t>JP MEDALION 17X24 MSRINE</t>
  </si>
  <si>
    <t>YMB007620</t>
  </si>
  <si>
    <t>21864378197</t>
  </si>
  <si>
    <t>WHITE/SILVER MONO 3PC LP/TIP-R</t>
  </si>
  <si>
    <t>02407LPFT-R</t>
  </si>
  <si>
    <t>21864378203</t>
  </si>
  <si>
    <t>WHITE/SILVER MONO 3PC LP/TIP-S</t>
  </si>
  <si>
    <t>02407LPFT-S</t>
  </si>
  <si>
    <t>21864378098</t>
  </si>
  <si>
    <t>WHITE/SILVER MONO 3PC LP/TIP-A</t>
  </si>
  <si>
    <t>02407LPFT-A</t>
  </si>
  <si>
    <t>21864378180</t>
  </si>
  <si>
    <t>WHITE/SILVER MONO 3PC LP/TIP-M</t>
  </si>
  <si>
    <t>02407LPFT-M</t>
  </si>
  <si>
    <t>89786382456</t>
  </si>
  <si>
    <t>ALL THAT JAZZ BASIC</t>
  </si>
  <si>
    <t>TJ888W</t>
  </si>
  <si>
    <t>CREATIVE BATH PRODUCTS</t>
  </si>
  <si>
    <t>21864377015</t>
  </si>
  <si>
    <t>AVANTI 3PC DEER</t>
  </si>
  <si>
    <t>02480LPFTTRE</t>
  </si>
  <si>
    <t>96675810808</t>
  </si>
  <si>
    <t>MS FOAM 3IN TOP K</t>
  </si>
  <si>
    <t>10012108KG</t>
  </si>
  <si>
    <t>NYLON/POLYESTER.</t>
  </si>
  <si>
    <t>86569967930</t>
  </si>
  <si>
    <t>MPE DELANEY RMIABG K RD</t>
  </si>
  <si>
    <t>MPE10-708</t>
  </si>
  <si>
    <t>8246095323</t>
  </si>
  <si>
    <t>LIANA SEA GLASS KING BASIC</t>
  </si>
  <si>
    <t>82149G.10592</t>
  </si>
  <si>
    <t>C &amp; F ENTERPRISES</t>
  </si>
  <si>
    <t>86569933355</t>
  </si>
  <si>
    <t>MP CADENCE K CS AQ</t>
  </si>
  <si>
    <t>MP10-5090</t>
  </si>
  <si>
    <t>734737515970</t>
  </si>
  <si>
    <t>RHODES BROWN/IVY QN 10PCBASIC</t>
  </si>
  <si>
    <t>843145103249</t>
  </si>
  <si>
    <t>QUEEN COMFORTER SET</t>
  </si>
  <si>
    <t>BCS03249</t>
  </si>
  <si>
    <t>FABRIC POLYESTER MICROFIBERFILL POLYESTER</t>
  </si>
  <si>
    <t>675716389895</t>
  </si>
  <si>
    <t>MP LAUREL PLUM KG CS</t>
  </si>
  <si>
    <t>MP10-255</t>
  </si>
  <si>
    <t>DARKPURPLE</t>
  </si>
  <si>
    <t>86569104533</t>
  </si>
  <si>
    <t>ALTON K COMFSET TP/I BASIC</t>
  </si>
  <si>
    <t>WR10-2418</t>
  </si>
  <si>
    <t>BRNOVERFLW</t>
  </si>
  <si>
    <t>734737549708</t>
  </si>
  <si>
    <t>CLIP JAQ PK KG COMF BASIC</t>
  </si>
  <si>
    <t>CLPJQPKKG</t>
  </si>
  <si>
    <t>735732816826</t>
  </si>
  <si>
    <t>POLYGALON KG 5PC COMFORT</t>
  </si>
  <si>
    <t>PYG-5CS-KING-MA-TAUP</t>
  </si>
  <si>
    <t>732994459204</t>
  </si>
  <si>
    <t>VLVT FLRSH V TW QLT</t>
  </si>
  <si>
    <t>VFLSHIVTW</t>
  </si>
  <si>
    <t>POLYESTER/SPANDEX/COTTON; FILL: COTTON</t>
  </si>
  <si>
    <t>693614012608</t>
  </si>
  <si>
    <t>EJHFBFC1</t>
  </si>
  <si>
    <t>COVER: 100% DOUBLE COTTON SATIN, FILLING: 100% POLYESTER</t>
  </si>
  <si>
    <t>706257908211</t>
  </si>
  <si>
    <t>YOU CMPLT GR TW 3PC COMF SET</t>
  </si>
  <si>
    <t>UCMPLTGTWC</t>
  </si>
  <si>
    <t>MARTHA STEWART-EDI/YUNUS TEXTILES</t>
  </si>
  <si>
    <t>810001363161</t>
  </si>
  <si>
    <t>WB-COM-SND-K</t>
  </si>
  <si>
    <t>WB-COM-K</t>
  </si>
  <si>
    <t>SOUTHSHORE FINE LIN/BARGAIN ONLINE</t>
  </si>
  <si>
    <t>HIGH QUALITY 110 GSM DOUBLE BRUSHED MICROFIBER</t>
  </si>
  <si>
    <t>675716412265</t>
  </si>
  <si>
    <t>ALLISON T/TXL 3PC CVL BASIC</t>
  </si>
  <si>
    <t>MZ80-066</t>
  </si>
  <si>
    <t>657812162527</t>
  </si>
  <si>
    <t>VELOUR/SHRP THRW CREAM</t>
  </si>
  <si>
    <t>4493-9064229-702R</t>
  </si>
  <si>
    <t>675716973810</t>
  </si>
  <si>
    <t>BARRETT F/Q GR/BL CS</t>
  </si>
  <si>
    <t>MPE10-559</t>
  </si>
  <si>
    <t>83013161159</t>
  </si>
  <si>
    <t>GIANNA FASHION 16X16 DEC</t>
  </si>
  <si>
    <t>2A0-582C0-8010</t>
  </si>
  <si>
    <t>675716766801</t>
  </si>
  <si>
    <t>MP QUEBEC THROW WHITE BASIC</t>
  </si>
  <si>
    <t>MP50-2986</t>
  </si>
  <si>
    <t>FACE AND REVERSE: POLYESTER 85 GRAMS PER SQUARE METER; FILL: COTTON 200 GRAMS PER SQUARE METER</t>
  </si>
  <si>
    <t>9339296042373</t>
  </si>
  <si>
    <t>WHALE SLIPPERS L</t>
  </si>
  <si>
    <t>S8HSLLWH</t>
  </si>
  <si>
    <t>SUNNYLIFE LLC</t>
  </si>
  <si>
    <t>9339296034668</t>
  </si>
  <si>
    <t>WHALE SLIPPERS M</t>
  </si>
  <si>
    <t>S8HSLMWH</t>
  </si>
  <si>
    <t>47293298097</t>
  </si>
  <si>
    <t>TAUP BLAC STRETCH PIQUBASIC</t>
  </si>
  <si>
    <t>185026211A280GEOTTM</t>
  </si>
  <si>
    <t>POLYESTER/SPANDEX</t>
  </si>
  <si>
    <t>726895203813</t>
  </si>
  <si>
    <t>NAPTIME DEC 12X20 WHT</t>
  </si>
  <si>
    <t>COTTON; FILL: POLYESTER</t>
  </si>
  <si>
    <t>9339296030271</t>
  </si>
  <si>
    <t>ELECTRIC AIR PUMP</t>
  </si>
  <si>
    <t>S8MPUMXU</t>
  </si>
  <si>
    <t>ACRYLONITRILE BUTADIENE STYRENE</t>
  </si>
  <si>
    <t>675716669898</t>
  </si>
  <si>
    <t>MP ZURI 20X20 PILLOW TAN</t>
  </si>
  <si>
    <t>MP30-1913</t>
  </si>
  <si>
    <t>9339296034552</t>
  </si>
  <si>
    <t>ICECREAM BANK</t>
  </si>
  <si>
    <t>S8HMBKIC</t>
  </si>
  <si>
    <t>POLYRESIN</t>
  </si>
  <si>
    <t>9339296034569</t>
  </si>
  <si>
    <t>RAINBOW BANK</t>
  </si>
  <si>
    <t>S8HMBKRW</t>
  </si>
  <si>
    <t>9339296035382</t>
  </si>
  <si>
    <t>PINEAPPLE COIN POUCH</t>
  </si>
  <si>
    <t>S90COIPI</t>
  </si>
  <si>
    <t>SILICONE</t>
  </si>
  <si>
    <t>86569092007</t>
  </si>
  <si>
    <t>LILIANA HOOD THROW BASIC</t>
  </si>
  <si>
    <t>MCH50-759</t>
  </si>
  <si>
    <t>848742092279</t>
  </si>
  <si>
    <t>DARLA CS</t>
  </si>
  <si>
    <t>16T004801</t>
  </si>
  <si>
    <t>608356630645</t>
  </si>
  <si>
    <t>TILE SS FQ COMF SET</t>
  </si>
  <si>
    <t>10019512FQ</t>
  </si>
  <si>
    <t>COTTON; POLYESTER FILL 250 GSM</t>
  </si>
  <si>
    <t>732997430880</t>
  </si>
  <si>
    <t>TUFTD VELV GY KG QLT</t>
  </si>
  <si>
    <t>VTUFTGYKG</t>
  </si>
  <si>
    <t>VISCOSE/NYLON; POLYESTER FILL</t>
  </si>
  <si>
    <t>636206649110</t>
  </si>
  <si>
    <t>3PC GARDEN KGD SET</t>
  </si>
  <si>
    <t>3GARDENKGD</t>
  </si>
  <si>
    <t>CLSD-MS M/BED</t>
  </si>
  <si>
    <t>MARTHA STEWART-EDI/BCP HOME INC</t>
  </si>
  <si>
    <t>100% COTTON; THREAD COUNT: 200</t>
  </si>
  <si>
    <t>96675638013</t>
  </si>
  <si>
    <t>SENSORGEL NEW 1.5" TW BASIC</t>
  </si>
  <si>
    <t>FABRIC: NYLON 320 GRAMS PER SQUARE METER; FILL: GEL-INFUSED MEMORY FOAM</t>
  </si>
  <si>
    <t>732995740400</t>
  </si>
  <si>
    <t>EMB FLOWERS KG QLT</t>
  </si>
  <si>
    <t>100037831KG</t>
  </si>
  <si>
    <t>706254518093</t>
  </si>
  <si>
    <t>3PC SCALLOP BLUEBIRD</t>
  </si>
  <si>
    <t>100050166FQ</t>
  </si>
  <si>
    <t>636206649103</t>
  </si>
  <si>
    <t>3PC GARDEN FQD SET</t>
  </si>
  <si>
    <t>3GARDENFQD</t>
  </si>
  <si>
    <t>675716278557</t>
  </si>
  <si>
    <t>DUNE Q COMF SET KHAKI</t>
  </si>
  <si>
    <t>MP10-069</t>
  </si>
  <si>
    <t>FAUX-SUEDE COMFORTER AND SHAM FACE: POLYESTER; POLYESTER REVERSE; FAUX-SUEDE BEDSKIRT DROP: POLYESTER; POLYESTER PLATFORM; DECORATIVE PILLOWS: POLYESTER; POLYESTER FILL; COMFORTER FILL: POLYESTER 8-OZ. PER SQUARE YARD</t>
  </si>
  <si>
    <t>709271404660</t>
  </si>
  <si>
    <t>CK STP TWL 14 DEC</t>
  </si>
  <si>
    <t>251STET-SP-A1-D2</t>
  </si>
  <si>
    <t>14X14</t>
  </si>
  <si>
    <t>SHELL FRONT: COTTON/RAFFIA; SHELL BACK AND LINING: COTTON; FILL: DOWN</t>
  </si>
  <si>
    <t>732995472189</t>
  </si>
  <si>
    <t>RICE STITCH SAGE KG QLT</t>
  </si>
  <si>
    <t>100052116KG</t>
  </si>
  <si>
    <t>COTTON / POLYESTER</t>
  </si>
  <si>
    <t>732994642903</t>
  </si>
  <si>
    <t>T400 PRINT FLORAL KG</t>
  </si>
  <si>
    <t>100029196KG</t>
  </si>
  <si>
    <t>MS COL SHEETS</t>
  </si>
  <si>
    <t>MARTHA STEWART-EDI/RWI/NAISHAT</t>
  </si>
  <si>
    <t>21864337637</t>
  </si>
  <si>
    <t>AV SPLNDOR 27X45 BLACK</t>
  </si>
  <si>
    <t>15157JBLK</t>
  </si>
  <si>
    <t>38992002191</t>
  </si>
  <si>
    <t>VAUGHN VALANCE</t>
  </si>
  <si>
    <t>CNVGHNW41805519</t>
  </si>
  <si>
    <t>WATERFORD/W-C HOME FASHIONS LLC</t>
  </si>
  <si>
    <t>COTTON; COTTON/POLYESTER FILL</t>
  </si>
  <si>
    <t>86569066022</t>
  </si>
  <si>
    <t>ID BENNY CMFS F/Q WT</t>
  </si>
  <si>
    <t>ID10-1344</t>
  </si>
  <si>
    <t>190714309244</t>
  </si>
  <si>
    <t>CHUNKY KNITTED THROW</t>
  </si>
  <si>
    <t>1123719IVORY50X60</t>
  </si>
  <si>
    <t>86569173379</t>
  </si>
  <si>
    <t>FELICIA CS BLS F/Q</t>
  </si>
  <si>
    <t>ID10-1659</t>
  </si>
  <si>
    <t>COMFORTER/SHAM: POLYESTER CRUSHED VELVET ON FACE, POLYESTER MICROFIBER REVERSE, COMFORTER WITH POLYESTER FILLING; DECORATIVE PILLOW: POLYESTER VELVET REVERSE TO MICROFIBER COVER WITH POLYESTER FILLING</t>
  </si>
  <si>
    <t>608381631815</t>
  </si>
  <si>
    <t>18X18 DMAT DEC RUST</t>
  </si>
  <si>
    <t>09DEC5LKY</t>
  </si>
  <si>
    <t>COVER AND FILLER COVER:COTTON;FILL:POLYESTER</t>
  </si>
  <si>
    <t>766195425829</t>
  </si>
  <si>
    <t>ELS ISLND R/B 18X18 DEC BASIC</t>
  </si>
  <si>
    <t>051580TH001</t>
  </si>
  <si>
    <t>YOUNG CL HOME</t>
  </si>
  <si>
    <t>TOMMY HILFIGER/HIMATSINGKA AMERICA</t>
  </si>
  <si>
    <t>846339071621</t>
  </si>
  <si>
    <t>ROSEWOOD BOUDOIR DEC</t>
  </si>
  <si>
    <t>2138068BOUDR</t>
  </si>
  <si>
    <t>42075486488</t>
  </si>
  <si>
    <t>INK DROP FQ COMF SET BASIC</t>
  </si>
  <si>
    <t>2-2300C3BK</t>
  </si>
  <si>
    <t>726895623208</t>
  </si>
  <si>
    <t>WINDOWPANE THROW</t>
  </si>
  <si>
    <t>636206165528</t>
  </si>
  <si>
    <t>525TC YD STD PC KHA</t>
  </si>
  <si>
    <t>5K20SPC790</t>
  </si>
  <si>
    <t>FABRIC: ALL COTTON</t>
  </si>
  <si>
    <t>191790006843</t>
  </si>
  <si>
    <t>GLD NUPERCALE T600 KG BASIC</t>
  </si>
  <si>
    <t>70802104015AQT</t>
  </si>
  <si>
    <t>675716981921</t>
  </si>
  <si>
    <t>HAYDEN K/CK GR COMF SET</t>
  </si>
  <si>
    <t>MPE10-566</t>
  </si>
  <si>
    <t>25521246898</t>
  </si>
  <si>
    <t>CK MIMOSA XF PILLOW KINGBASIC</t>
  </si>
  <si>
    <t>COVER: 230-THREAD COUNT COTTON; INNER CORE: FEATHER; OUTER CORE: DOWN</t>
  </si>
  <si>
    <t>636206620850</t>
  </si>
  <si>
    <t>T700 PROMO QN</t>
  </si>
  <si>
    <t>10018339QN</t>
  </si>
  <si>
    <t>CHARTER CLUB-EDI/RWI/WELSPUN</t>
  </si>
  <si>
    <t>815698021967</t>
  </si>
  <si>
    <t>CABIN RULES SPS</t>
  </si>
  <si>
    <t>CR2026CFPS</t>
  </si>
  <si>
    <t>LAURAL HOME LLC</t>
  </si>
  <si>
    <t>FABRIC: 100% COTTON FILL: 100% POLYESTER</t>
  </si>
  <si>
    <t>86569005618</t>
  </si>
  <si>
    <t>RAINA DVS F/Q GY/SV</t>
  </si>
  <si>
    <t>ID12-1394</t>
  </si>
  <si>
    <t>732995688696</t>
  </si>
  <si>
    <t>STRIPE FQ MINIQLT BASIC</t>
  </si>
  <si>
    <t>100045358FQ</t>
  </si>
  <si>
    <t>FABRIC: POLYESTER; POLYESTER FILL 120 GRAMS PER SQUARE METER</t>
  </si>
  <si>
    <t>732995688818</t>
  </si>
  <si>
    <t>DMND GEO FQ MINIQLT BASIC</t>
  </si>
  <si>
    <t>100045360FQ</t>
  </si>
  <si>
    <t>732995688788</t>
  </si>
  <si>
    <t>SOLID TW MINIQLT BASIC</t>
  </si>
  <si>
    <t>100045359TW</t>
  </si>
  <si>
    <t>83013289907</t>
  </si>
  <si>
    <t>NELLIE BOUD DEC 22X11</t>
  </si>
  <si>
    <t>2A0-530C0-1771</t>
  </si>
  <si>
    <t>83013289891</t>
  </si>
  <si>
    <t>NELLIE FASH DEC 16X16</t>
  </si>
  <si>
    <t>2A0-582C0-1771</t>
  </si>
  <si>
    <t>706257552735</t>
  </si>
  <si>
    <t>PLEASANT FLDS SHAM BASIC</t>
  </si>
  <si>
    <t>PLSTFLDST</t>
  </si>
  <si>
    <t>732996628875</t>
  </si>
  <si>
    <t>MS PLAID HLDY ROBE</t>
  </si>
  <si>
    <t>190714202668</t>
  </si>
  <si>
    <t>SAM DEC PILLOW</t>
  </si>
  <si>
    <t>1112738NAVY20X20</t>
  </si>
  <si>
    <t>735732965425</t>
  </si>
  <si>
    <t>COAST 16PC BATH BASKET</t>
  </si>
  <si>
    <t>C2C-BTH-16PC-MA-BLUE</t>
  </si>
  <si>
    <t>FABRIC: POLYESTER/POLYETHYLENE; SHOWER CURTAIN RINGS: NICKEL PLATED/CHROME POLISHED</t>
  </si>
  <si>
    <t>83013115169</t>
  </si>
  <si>
    <t>CRSL MAGNOLIA RUG 20X30 BASIC</t>
  </si>
  <si>
    <t>6A0-064O0-0277</t>
  </si>
  <si>
    <t>CROSCILL HOME LLC</t>
  </si>
  <si>
    <t>COTTON, EXCLUSIVE OF DECORATION</t>
  </si>
  <si>
    <t>608381522267</t>
  </si>
  <si>
    <t>T300 FLT IVORY FU SHEET</t>
  </si>
  <si>
    <t>300FFL822IV</t>
  </si>
  <si>
    <t>REGFULFLAT</t>
  </si>
  <si>
    <t>80166735299</t>
  </si>
  <si>
    <t>BAC KCH EASTLY REC 28X46BASIC</t>
  </si>
  <si>
    <t>OLEFIN FACE WITH ATEX BACK</t>
  </si>
  <si>
    <t>81806448296</t>
  </si>
  <si>
    <t>VELVET CHARCOAL 84 BASIC</t>
  </si>
  <si>
    <t>FZR02KBB2CHC</t>
  </si>
  <si>
    <t>81806448319</t>
  </si>
  <si>
    <t>VELVET MOCHA 84 BASIC</t>
  </si>
  <si>
    <t>FZR02KBB2MOC</t>
  </si>
  <si>
    <t>21864299782</t>
  </si>
  <si>
    <t>3PC MONOGRAM SET -S BASIC</t>
  </si>
  <si>
    <t>02256S-S</t>
  </si>
  <si>
    <t>734737452312</t>
  </si>
  <si>
    <t>INSPIREPLUS21X34IVOR</t>
  </si>
  <si>
    <t>R3769AN182134NT</t>
  </si>
  <si>
    <t>POLYESTER; FILL: POLYESTER FOAM; BACKING: STYRENE BUTADIENE RUBBER</t>
  </si>
  <si>
    <t>83013331484</t>
  </si>
  <si>
    <t>BECKETT SQ DEC 18X18</t>
  </si>
  <si>
    <t>2AM-590C0-7018</t>
  </si>
  <si>
    <t>81806449323</t>
  </si>
  <si>
    <t>RIPPLES WHITE 84 BASIC</t>
  </si>
  <si>
    <t>FZR02KNB2WHT</t>
  </si>
  <si>
    <t>886087186260</t>
  </si>
  <si>
    <t>LRL WESCOTT ART BROWN B</t>
  </si>
  <si>
    <t>29927431933</t>
  </si>
  <si>
    <t>GRANT CURTAIN BASIC</t>
  </si>
  <si>
    <t>86569111227</t>
  </si>
  <si>
    <t>STELLA SHOWER CURTAIN</t>
  </si>
  <si>
    <t>MCH70-987</t>
  </si>
  <si>
    <t>86569092878</t>
  </si>
  <si>
    <t>STLR SPC DEC BASIC</t>
  </si>
  <si>
    <t>MCH30-793</t>
  </si>
  <si>
    <t>COVER; COTTON: FILL; POLYESTER</t>
  </si>
  <si>
    <t>86569092861</t>
  </si>
  <si>
    <t>MCH30-792</t>
  </si>
  <si>
    <t>86569183118</t>
  </si>
  <si>
    <t>SAFARI HOODED THROW BASIC</t>
  </si>
  <si>
    <t>MCH50-1161</t>
  </si>
  <si>
    <t>99446296023</t>
  </si>
  <si>
    <t>NOUR MONTCLAIR 24X36 MULTI</t>
  </si>
  <si>
    <t>MONTMNCL1MTC024036</t>
  </si>
  <si>
    <t>848405036725</t>
  </si>
  <si>
    <t>TEAL PAISLEY H</t>
  </si>
  <si>
    <t>MACPRO194112</t>
  </si>
  <si>
    <t>848405036787</t>
  </si>
  <si>
    <t>TEAL PAISLEY W</t>
  </si>
  <si>
    <t>MACPRO194118</t>
  </si>
  <si>
    <t>32281205294</t>
  </si>
  <si>
    <t>HARRY POTTER SEC YR T/F</t>
  </si>
  <si>
    <t>JF20529</t>
  </si>
  <si>
    <t>859161000011</t>
  </si>
  <si>
    <t>MENAGERIE TW 5PC COMF BASIC</t>
  </si>
  <si>
    <t>MANAGERIE</t>
  </si>
  <si>
    <t>886087277814</t>
  </si>
  <si>
    <t>BOWERY FQDC BASIC</t>
  </si>
  <si>
    <t>SLN HOTL/RLTX</t>
  </si>
  <si>
    <t>848742065518</t>
  </si>
  <si>
    <t>REYNA COMFORTER IVORY 3P</t>
  </si>
  <si>
    <t>16T002160</t>
  </si>
  <si>
    <t>709271404646</t>
  </si>
  <si>
    <t>CK GEO WVE KG CVRLT</t>
  </si>
  <si>
    <t>261GWCT-KG-S1-D2</t>
  </si>
  <si>
    <t>675716698157</t>
  </si>
  <si>
    <t>LUX COLLECTION F/Q DSBK</t>
  </si>
  <si>
    <t>MPS12-091</t>
  </si>
  <si>
    <t>DUVET COVER/SHAM/PILLOW: COTTON; THREAD COUNT: 1000</t>
  </si>
  <si>
    <t>732994271851</t>
  </si>
  <si>
    <t>OJAI TW COMF SET BASIC</t>
  </si>
  <si>
    <t>10019517TW</t>
  </si>
  <si>
    <t>675716902230</t>
  </si>
  <si>
    <t>HOLLY Q COMF SET PUEPLE</t>
  </si>
  <si>
    <t>MP10-4166</t>
  </si>
  <si>
    <t>COMFORTER AND SHAM FACE: COTTON; POLYESTER REVERSE; BEDSKIRT DROP: POLYESTER/COTTON; POLYESTER PLATFORM; EUROPEAN SHAMS: COTTON/POLYESTER; DECORATIVE PILLOWS: COTTON/POLYESTER; POLYESTER FILL; COMFORTER FILL: POLYESTER 8-OZ. PER SQUARE YARD</t>
  </si>
  <si>
    <t>840444121295</t>
  </si>
  <si>
    <t>CHERYL BLACK QUEEN 10PC</t>
  </si>
  <si>
    <t>CS2129-MC</t>
  </si>
  <si>
    <t>FABRIC: 100% POLYESTER MICROFIBERFILL: 100% POLYESTER</t>
  </si>
  <si>
    <t>675716389932</t>
  </si>
  <si>
    <t>MP LAUREL PLUM CK CS</t>
  </si>
  <si>
    <t>MP10-256</t>
  </si>
  <si>
    <t>732997796726</t>
  </si>
  <si>
    <t>SILKY SATIN KG QLT BASIC</t>
  </si>
  <si>
    <t>100064584KG</t>
  </si>
  <si>
    <t>675716780753</t>
  </si>
  <si>
    <t>SUNSET F/Q CS RED</t>
  </si>
  <si>
    <t>WR14-1730</t>
  </si>
  <si>
    <t>QUILT AND SHAMS: COTTON; QUILT FILL: COTTON/POLYESTER/OTHER FIBER 250GSM</t>
  </si>
  <si>
    <t>675716999223</t>
  </si>
  <si>
    <t>UH TALIA DVTSET F/Q GY</t>
  </si>
  <si>
    <t>UH12-2092</t>
  </si>
  <si>
    <t>DUVET COVER/SHAM: 80% POLYESTER, 20% COTTONPILLOW/EURO SHAM: 100% COTTON; DECORATIVE PILLOW FILL: 100% POLYESTER</t>
  </si>
  <si>
    <t>879421010062</t>
  </si>
  <si>
    <t>7PC RED/BROWN COMFORTER</t>
  </si>
  <si>
    <t>SIBYL7-Q</t>
  </si>
  <si>
    <t>675716661687</t>
  </si>
  <si>
    <t>QUINN F/Q DVT SET GREY</t>
  </si>
  <si>
    <t>MP12-1771</t>
  </si>
  <si>
    <t>86569216175</t>
  </si>
  <si>
    <t>BROOKLYN DS CHA TTXL</t>
  </si>
  <si>
    <t>UH12-2258</t>
  </si>
  <si>
    <t>DUVET/SHAM: COTTON; THREAD COUNT: 140, REVERSES TO 144; PILLOW/EUROPEAN SHAM: COTTON; THREAD COUNT: 144; PILLOW FILL: POLYESTER</t>
  </si>
  <si>
    <t>675716640170</t>
  </si>
  <si>
    <t>BR OGEE HTD THRW GREY BASIC</t>
  </si>
  <si>
    <t>BR54-0538</t>
  </si>
  <si>
    <t>POLYESTER FLEECE</t>
  </si>
  <si>
    <t>675716783938</t>
  </si>
  <si>
    <t>DUKE K/CK BL COMF SET</t>
  </si>
  <si>
    <t>MP10-3065</t>
  </si>
  <si>
    <t>FABRIC: POLYESTER 260 GSM, REVERSES TO 180 GSM; POLYESTER FILL</t>
  </si>
  <si>
    <t>675716465223</t>
  </si>
  <si>
    <t>CHOC HEATED MICROLIGHT BASIC</t>
  </si>
  <si>
    <t>BR54-0310</t>
  </si>
  <si>
    <t>HONEY</t>
  </si>
  <si>
    <t>FACE: SOLID MICROLIGHT, 200 GRAMS PER SQUARE METER POLYESTER; BACK: SOLID MICRO BERBER AND 220 GRAMS PER SQUARE METER POLYESTER</t>
  </si>
  <si>
    <t>191790029798</t>
  </si>
  <si>
    <t>SAG 1000 FLRJQ KG</t>
  </si>
  <si>
    <t>23902104004AQT</t>
  </si>
  <si>
    <t>706256793375</t>
  </si>
  <si>
    <t>DISTRESSED CHEVRON KG SHBASIC</t>
  </si>
  <si>
    <t>DI14KS790</t>
  </si>
  <si>
    <t>FACE: POLYESTER/COTTON/VISCOSE; REVERSE: COTTON</t>
  </si>
  <si>
    <t>706254650779</t>
  </si>
  <si>
    <t>HTL S/C COLOND 72X72 BLU</t>
  </si>
  <si>
    <t>HCOLOSCHB</t>
  </si>
  <si>
    <t>72X6X72/6</t>
  </si>
  <si>
    <t>HOTEL COLLECTION-MMG/AL KARAM</t>
  </si>
  <si>
    <t>675716900007</t>
  </si>
  <si>
    <t>ELLIE K BLUSH COMF SET</t>
  </si>
  <si>
    <t>ID10-1110</t>
  </si>
  <si>
    <t>42075585358</t>
  </si>
  <si>
    <t>LLAMAS</t>
  </si>
  <si>
    <t>2-871201BL</t>
  </si>
  <si>
    <t>726895232936</t>
  </si>
  <si>
    <t>525TC Q STD SHAM WHT</t>
  </si>
  <si>
    <t>T525WSTQSH</t>
  </si>
  <si>
    <t>734737563223</t>
  </si>
  <si>
    <t>T420 EGYPT CTN GREY KG</t>
  </si>
  <si>
    <t>734737567887</t>
  </si>
  <si>
    <t>T500 SOLID TAUPE KG SS</t>
  </si>
  <si>
    <t>734737567917</t>
  </si>
  <si>
    <t>T500 SOLID MAUVE KG SS</t>
  </si>
  <si>
    <t>732996143743</t>
  </si>
  <si>
    <t>T600 PROMO PRINT KG</t>
  </si>
  <si>
    <t>100060474KG</t>
  </si>
  <si>
    <t>INDOCOUNT/MMG-CHARTER CLUB</t>
  </si>
  <si>
    <t>783048021458</t>
  </si>
  <si>
    <t>TS PLEATED BLUSH FQ DS</t>
  </si>
  <si>
    <t>DCS1969BSFQ-18</t>
  </si>
  <si>
    <t>DUVET AND SHAM FACE AND BACK CLOTH IS 100% BRUSHED MICROFIBER POLYESTER WITH POLYESTER FILLING.</t>
  </si>
  <si>
    <t>840053094829</t>
  </si>
  <si>
    <t>RIO KI SHM 20X36 BU</t>
  </si>
  <si>
    <t>SS-SHR2036BU</t>
  </si>
  <si>
    <t>675716745387</t>
  </si>
  <si>
    <t>JLA MP DELRAY OL DP BASIC</t>
  </si>
  <si>
    <t>MP30-2670</t>
  </si>
  <si>
    <t>POLYESTER/COTTON</t>
  </si>
  <si>
    <t>675716846176</t>
  </si>
  <si>
    <t>ADEL 50X84 PANEL YL BASIC</t>
  </si>
  <si>
    <t>ID40-1014</t>
  </si>
  <si>
    <t>86569017970</t>
  </si>
  <si>
    <t>BROOKLYN 42X84 WP GY</t>
  </si>
  <si>
    <t>UH40-2178</t>
  </si>
  <si>
    <t>BODY: COTTON;</t>
  </si>
  <si>
    <t>675716999582</t>
  </si>
  <si>
    <t>MP RF 50X60 TR LVD BASIC</t>
  </si>
  <si>
    <t>MP50-4876</t>
  </si>
  <si>
    <t>675716908072</t>
  </si>
  <si>
    <t>SERENE 50X84 PANEL NAVY</t>
  </si>
  <si>
    <t>MP40-4209</t>
  </si>
  <si>
    <t>675716921286</t>
  </si>
  <si>
    <t>SARASOTA T BLUE CS</t>
  </si>
  <si>
    <t>MP10-4310</t>
  </si>
  <si>
    <t>810013412413</t>
  </si>
  <si>
    <t>SEALY FOAM PILLOW</t>
  </si>
  <si>
    <t>F01-00604-ST0</t>
  </si>
  <si>
    <t>COMFORT REVOLUTION LLC</t>
  </si>
  <si>
    <t>MADE IN THE USA OF US AND IMPORTED PARTS</t>
  </si>
  <si>
    <t>OUTER COVER: POLYESTER/SPANDEX; FILL: MEMORY FOAM</t>
  </si>
  <si>
    <t>675716789855</t>
  </si>
  <si>
    <t>MP RUCHEDFUR 25X25 PL GY</t>
  </si>
  <si>
    <t>MP30-3097</t>
  </si>
  <si>
    <t>675716775520</t>
  </si>
  <si>
    <t>II REEVE THROW PUP BASIC</t>
  </si>
  <si>
    <t>II50-720</t>
  </si>
  <si>
    <t>ACRYLIC</t>
  </si>
  <si>
    <t>86569928283</t>
  </si>
  <si>
    <t>HAYDEN K/CK DUVSET GREY</t>
  </si>
  <si>
    <t>MPE12-644</t>
  </si>
  <si>
    <t>675716802264</t>
  </si>
  <si>
    <t>MP ELMA 60X70 THROW GY</t>
  </si>
  <si>
    <t>MP50-3255</t>
  </si>
  <si>
    <t>FACE: POLYESTER</t>
  </si>
  <si>
    <t>76389012545</t>
  </si>
  <si>
    <t>CHF IVOR KENDALL BASIC</t>
  </si>
  <si>
    <t>1-80370GIV</t>
  </si>
  <si>
    <t>26 SGL</t>
  </si>
  <si>
    <t>CHF INDUSTRIES INC</t>
  </si>
  <si>
    <t>POLYESTER; LINING: POLYESTER</t>
  </si>
  <si>
    <t>86569910011</t>
  </si>
  <si>
    <t>MAYA PANEL 50X63 AQUA BASIC</t>
  </si>
  <si>
    <t>SS40-0035</t>
  </si>
  <si>
    <t>732995192261</t>
  </si>
  <si>
    <t>DMSK 550 SL FLAT FL</t>
  </si>
  <si>
    <t>100056018FL</t>
  </si>
  <si>
    <t>86569928276</t>
  </si>
  <si>
    <t>HAYDEN F/Q DUVSET GREY</t>
  </si>
  <si>
    <t>MPE12-643</t>
  </si>
  <si>
    <t>21864200177</t>
  </si>
  <si>
    <t>ROSEFAN IVORY BATH BASIC</t>
  </si>
  <si>
    <t>005411IVR</t>
  </si>
  <si>
    <t>675716700201</t>
  </si>
  <si>
    <t>AMHERST 50X18 WV RD</t>
  </si>
  <si>
    <t>MP41-2230</t>
  </si>
  <si>
    <t>675716700171</t>
  </si>
  <si>
    <t>AMHERST 50X18 WV NT</t>
  </si>
  <si>
    <t>MP41-2227</t>
  </si>
  <si>
    <t>675716776268</t>
  </si>
  <si>
    <t>CC PLUSH PLAID SLATE BASIC</t>
  </si>
  <si>
    <t>MCG50389</t>
  </si>
  <si>
    <t>CHARTER CLUB-EDI/JLA HOME</t>
  </si>
  <si>
    <t>21864200191</t>
  </si>
  <si>
    <t>ROSEFAN IVORY HAND BASIC</t>
  </si>
  <si>
    <t>005412IVR</t>
  </si>
  <si>
    <t>886087300185</t>
  </si>
  <si>
    <t>LRL PIERCE WHEAT H</t>
  </si>
  <si>
    <t>47293368509</t>
  </si>
  <si>
    <t>GARN STRETCH PIQUE SHORBASIC</t>
  </si>
  <si>
    <t>185025236H647SFSDIN</t>
  </si>
  <si>
    <t>814945024454</t>
  </si>
  <si>
    <t>DUST RUFFLE CREAM QU</t>
  </si>
  <si>
    <t>1606BS-CRM-QK</t>
  </si>
  <si>
    <t>886087299397</t>
  </si>
  <si>
    <t>LRL PIERCE NATURAL W</t>
  </si>
  <si>
    <t>706258627869</t>
  </si>
  <si>
    <t>HTL MLUX WHITE W BASIC</t>
  </si>
  <si>
    <t>HTLMLWWHT</t>
  </si>
  <si>
    <t>COTTON/MICROCOTTON®</t>
  </si>
  <si>
    <t>732994993906</t>
  </si>
  <si>
    <t>CC PLAID HAND</t>
  </si>
  <si>
    <t>734737466999</t>
  </si>
  <si>
    <t>SH SUPREME SELECT SILVER H</t>
  </si>
  <si>
    <t>T0376BN531630</t>
  </si>
  <si>
    <t>TANK SETS</t>
  </si>
  <si>
    <t>21864341412</t>
  </si>
  <si>
    <t>IVORY AVANTI AUDREY FTIP</t>
  </si>
  <si>
    <t>038354IVR</t>
  </si>
  <si>
    <t>85214107486</t>
  </si>
  <si>
    <t>SOUTHWST SKIES 3PC SET BASIC</t>
  </si>
  <si>
    <t>86569919908</t>
  </si>
  <si>
    <t>PERRY K/CK CS BLUE BASIC</t>
  </si>
  <si>
    <t>WR10-2194</t>
  </si>
  <si>
    <t>32281228101</t>
  </si>
  <si>
    <t>HARRY POTTER DRACO D BASIC</t>
  </si>
  <si>
    <t>JF22810</t>
  </si>
  <si>
    <t>679610773484</t>
  </si>
  <si>
    <t>KACY 5 PC QUEEN</t>
  </si>
  <si>
    <t>FIBER: 100% POLYESTER, FILLING: 100% POLYESTER</t>
  </si>
  <si>
    <t>784851507245</t>
  </si>
  <si>
    <t>COTTON QUEEN GRAY C BASIC</t>
  </si>
  <si>
    <t>COTTON QUEEN GRAY CO</t>
  </si>
  <si>
    <t>732994719452</t>
  </si>
  <si>
    <t>HOTEL PRECLE ROBE XL BASIC</t>
  </si>
  <si>
    <t>85214108018</t>
  </si>
  <si>
    <t>DREAMING DAX 3PC SET BASIC</t>
  </si>
  <si>
    <t>887719079295</t>
  </si>
  <si>
    <t>T300 SLD GREY 4PC SS QN</t>
  </si>
  <si>
    <t>T300HYGGRYSSQN</t>
  </si>
  <si>
    <t>GOODFUL/WELSPUN USA INC</t>
  </si>
  <si>
    <t>675716709891</t>
  </si>
  <si>
    <t>SERENITY TW CS SS TP</t>
  </si>
  <si>
    <t>MPE10-150</t>
  </si>
  <si>
    <t>COMFORTER/SHAM/BEDSKIRT: POLYESTER; PILLOW COVER : POLYESTER; SHEETS: COTTON; PILLOW FILL: POLYESTER; COMFORTER FILL: POLYESTER</t>
  </si>
  <si>
    <t>848971065877</t>
  </si>
  <si>
    <t>Z ZONED ACTIVEDOUGH Q</t>
  </si>
  <si>
    <t>ZZQQMPADZG</t>
  </si>
  <si>
    <t>INNER FILL: POLYURETHANE FOAM, COVER: TENCEL®LYOCELL</t>
  </si>
  <si>
    <t>86569215666</t>
  </si>
  <si>
    <t>LEWIS CVT GY FQ BASIC</t>
  </si>
  <si>
    <t>MP13-6351</t>
  </si>
  <si>
    <t>POLYESTER MINK FACE, POLYESTER MICROFIBER BACK, POLYESTER FILLING</t>
  </si>
  <si>
    <t>726895232721</t>
  </si>
  <si>
    <t>525TC EURO SHAM ASH</t>
  </si>
  <si>
    <t>T525AERSH</t>
  </si>
  <si>
    <t>706254758246</t>
  </si>
  <si>
    <t>FOG LINEN FOG Q KG SHAM</t>
  </si>
  <si>
    <t>LG23QK790</t>
  </si>
  <si>
    <t>675716771911</t>
  </si>
  <si>
    <t>MZ CHLOE TEAL K/CK CS</t>
  </si>
  <si>
    <t>MZ10-483</t>
  </si>
  <si>
    <t>COMFORTER/SHAM: POLYESTER MICROFIBER PRINTED; REVERSES TO POLYESTER MICROFIBERCOMFORTER FILL: POLYESTERPILLOW COVER: POLYESTERPILLOW FILL: POLYESTER</t>
  </si>
  <si>
    <t>86569193445</t>
  </si>
  <si>
    <t>MALEA CS GY T/TXL</t>
  </si>
  <si>
    <t>ID10-1696</t>
  </si>
  <si>
    <t>COMFORTER/SHAM: POLYESTER SOLID SHAGGY LONG FUR REVERSE TO POLYESTER SOLID MINK, COMFORTER WITH POLYESTER FILLING</t>
  </si>
  <si>
    <t>608381631792</t>
  </si>
  <si>
    <t>18X18 DMAT DEC IND</t>
  </si>
  <si>
    <t>07DEC5LKY</t>
  </si>
  <si>
    <t>783048037336</t>
  </si>
  <si>
    <t>HOTEL BOR FQ 7PC WH/KH D</t>
  </si>
  <si>
    <t>DCS2182WKFQ7-00</t>
  </si>
  <si>
    <t>FABRIC/FILL: POLYESTER</t>
  </si>
  <si>
    <t>783048037350</t>
  </si>
  <si>
    <t>HOTEL B FQ 7PC W/GRY DVT</t>
  </si>
  <si>
    <t>DCS2182WGFQ7-00</t>
  </si>
  <si>
    <t>652267731069</t>
  </si>
  <si>
    <t>PD MFP 17021</t>
  </si>
  <si>
    <t>ST JAMES HOME INC</t>
  </si>
  <si>
    <t>SHELL - POLYESTER, COTTON, STUFFING - 100 % MEMORY FOAM</t>
  </si>
  <si>
    <t>27045770934</t>
  </si>
  <si>
    <t>HEATED CHILL-AWAY SLATE BASIC</t>
  </si>
  <si>
    <t>TRNQR-310-36</t>
  </si>
  <si>
    <t>SUNBEAM PRODUCTS INC</t>
  </si>
  <si>
    <t>693614010789</t>
  </si>
  <si>
    <t>SOFT PLUSH LUXURIOUS BASIC</t>
  </si>
  <si>
    <t>BMI9456L3</t>
  </si>
  <si>
    <t>SHELL: 100% COTTON, SATEENCORD: COOL GRAY SATIN., FILL: 100% POLYESTER FINE GEL FIBERS</t>
  </si>
  <si>
    <t>679610808155</t>
  </si>
  <si>
    <t>ODESSA BLUE 4PC T/TXL</t>
  </si>
  <si>
    <t>675716616793</t>
  </si>
  <si>
    <t>LIBRA T/TXL 3PC COMF SETBASIC</t>
  </si>
  <si>
    <t>MZ10-334</t>
  </si>
  <si>
    <t>SHELL,SHAMS, AND FILLING: POLYESTER</t>
  </si>
  <si>
    <t>783048107879</t>
  </si>
  <si>
    <t>TS WAFFLE STR FQ DS</t>
  </si>
  <si>
    <t>DCS3228FQ-1800</t>
  </si>
  <si>
    <t>80995541979</t>
  </si>
  <si>
    <t>KAS CODY EURO SH BASIC</t>
  </si>
  <si>
    <t>297P2EUS</t>
  </si>
  <si>
    <t>KAS/KEECO LLC</t>
  </si>
  <si>
    <t>706257267066</t>
  </si>
  <si>
    <t>FRINGE THROW PINK</t>
  </si>
  <si>
    <t>FRNGESTRPP</t>
  </si>
  <si>
    <t>726895450125</t>
  </si>
  <si>
    <t>T220 CVC PRNT KG DASH ST BR</t>
  </si>
  <si>
    <t>10016517KG</t>
  </si>
  <si>
    <t>MS ESSENTIALS-EDI/RWI/WELSPUN</t>
  </si>
  <si>
    <t>842941109325</t>
  </si>
  <si>
    <t>VALENDUVETQUSG</t>
  </si>
  <si>
    <t>26865775129</t>
  </si>
  <si>
    <t>38956WHT</t>
  </si>
  <si>
    <t>85214109749</t>
  </si>
  <si>
    <t>SOUTHWST SKIE SEC LINER BASIC</t>
  </si>
  <si>
    <t>86569930774</t>
  </si>
  <si>
    <t>ROSE TISSUE COVER BASIC</t>
  </si>
  <si>
    <t>MCH71-495</t>
  </si>
  <si>
    <t>86569930842</t>
  </si>
  <si>
    <t>CAPE MOSAIC TISSUE COVERBASIC</t>
  </si>
  <si>
    <t>MCH71-500</t>
  </si>
  <si>
    <t>628961000282</t>
  </si>
  <si>
    <t>PRISCILLA PILLOW</t>
  </si>
  <si>
    <t>JET9173</t>
  </si>
  <si>
    <t>791551987833</t>
  </si>
  <si>
    <t>CLASSIC VELVET K EGPL</t>
  </si>
  <si>
    <t>13841-KG-502</t>
  </si>
  <si>
    <t>FAUX FLEECE: POLYESTER</t>
  </si>
  <si>
    <t>791551987819</t>
  </si>
  <si>
    <t>CLASSIC VELVET FQ EGPL</t>
  </si>
  <si>
    <t>13841-FQ-502</t>
  </si>
  <si>
    <t>783048988027</t>
  </si>
  <si>
    <t>BEACON TW/TXL COMF SET</t>
  </si>
  <si>
    <t>CS1328TW-1540</t>
  </si>
  <si>
    <t>86569904744</t>
  </si>
  <si>
    <t>EMILY 50X18 WV WT</t>
  </si>
  <si>
    <t>MP41-4950</t>
  </si>
  <si>
    <t>636189985175</t>
  </si>
  <si>
    <t>T200 KISS PC PTALK BASIC</t>
  </si>
  <si>
    <t>KISSPTALK</t>
  </si>
  <si>
    <t>25521182967</t>
  </si>
  <si>
    <t>CK Tossed CK Firm Std BASIC</t>
  </si>
  <si>
    <t>18296FN</t>
  </si>
  <si>
    <t>SHELL: COTTON; DOWN-ALTERNATIVE FILL: POLYESTER</t>
  </si>
  <si>
    <t>34086745838</t>
  </si>
  <si>
    <t>Springs Metallic Plw BASIC</t>
  </si>
  <si>
    <t>750105156996</t>
  </si>
  <si>
    <t>SPP 300TC TTLPERF PLW SQ</t>
  </si>
  <si>
    <t>FEDP1030WQ</t>
  </si>
  <si>
    <t>64247030077</t>
  </si>
  <si>
    <t>Lauren Ralph Lauren Lauren Ralph Lauren Leanne Bac Gray 50x108</t>
  </si>
  <si>
    <t>LEANNE50X108</t>
  </si>
  <si>
    <t>108 SGL</t>
  </si>
  <si>
    <t>PANEL- 100% LINEN, LINING- POLYESTER AND COTTON</t>
  </si>
  <si>
    <t>86569023858</t>
  </si>
  <si>
    <t>JLA Home Madison Park Isla King 8 Piece Blue King</t>
  </si>
  <si>
    <t>MP10-5804</t>
  </si>
  <si>
    <t>COMFORTER/SHAM - 144TC COTTON PERCALE, 132TC COTTON/POLYESTER REVERSE, DECORATIVE PILLOW/BEDSKIRT/EURO SHAM - COTTON/POLYESTER, COMFORTER/DECORATIVE PILLOW FILL - 100% POLYESTER</t>
  </si>
  <si>
    <t>47293355509</t>
  </si>
  <si>
    <t>Sure Fit Sure Fit Stretch Faux Suede So Camel Sofa Slipcover</t>
  </si>
  <si>
    <t>173627270U</t>
  </si>
  <si>
    <t>86569956774</t>
  </si>
  <si>
    <t>Madison Park Cape Cod 7-Pc. King Comforter Blue King</t>
  </si>
  <si>
    <t>MP10-5282</t>
  </si>
  <si>
    <t>675716716622</t>
  </si>
  <si>
    <t>Madison Park Averly 7-Pc. King Comforter Se Grey King</t>
  </si>
  <si>
    <t>MP10-2429</t>
  </si>
  <si>
    <t>TOTAL ORIGINAL COST</t>
  </si>
  <si>
    <t>TOTAL ORIGINAL RETAIL</t>
  </si>
  <si>
    <t>TOTAL CLIENT COST</t>
  </si>
  <si>
    <t>DIVISION</t>
  </si>
  <si>
    <t>CLIENT COST</t>
  </si>
  <si>
    <t>ORIGINAL COST</t>
  </si>
  <si>
    <t>MCY</t>
  </si>
  <si>
    <t>UPC</t>
  </si>
  <si>
    <t>ITEM DESCRIPTION</t>
  </si>
  <si>
    <t>ORIGINAL QTY</t>
  </si>
  <si>
    <t>ORIGINAL RETAIL</t>
  </si>
  <si>
    <t>VENDOR / STYLE #</t>
  </si>
  <si>
    <t>COLOR</t>
  </si>
  <si>
    <t>SIZE</t>
  </si>
  <si>
    <t>DEPARTMENT NAME</t>
  </si>
  <si>
    <t>VENDOR NAME</t>
  </si>
  <si>
    <t>COUNTRY OF ORIGIN</t>
  </si>
  <si>
    <t>FABRIC CONTENT</t>
  </si>
  <si>
    <t>IMAGE</t>
  </si>
  <si>
    <t>679610796544</t>
  </si>
  <si>
    <t>AILEEN 12 PC QUEEN</t>
  </si>
  <si>
    <t>MED GRAY</t>
  </si>
  <si>
    <t>MOD BEDDING</t>
  </si>
  <si>
    <t>HALLMART COLLECTIBLES INC</t>
  </si>
  <si>
    <t>IMPORTED</t>
  </si>
  <si>
    <t>FIBER: 100% POLYESTER EXCLUSIVE OF DECORATION; FILLING: 100% POLYESTER</t>
  </si>
  <si>
    <t>706256945514</t>
  </si>
  <si>
    <t>FLORAL BLKWH KG COMF SET</t>
  </si>
  <si>
    <t>DCKGFLOBWT</t>
  </si>
  <si>
    <t>BLACK</t>
  </si>
  <si>
    <t>KGCOMFORTE</t>
  </si>
  <si>
    <t>CHRT CLB DSGN</t>
  </si>
  <si>
    <t>MMG-CHARTER CLUB</t>
  </si>
  <si>
    <t>SHELL: COTTON; FILL: POLYESTER</t>
  </si>
  <si>
    <t>846339075544</t>
  </si>
  <si>
    <t>ZILARA PRL FQ CVLT</t>
  </si>
  <si>
    <t>2180116FQCOV</t>
  </si>
  <si>
    <t>WHITE</t>
  </si>
  <si>
    <t>TRAD TXTL COL</t>
  </si>
  <si>
    <t>J QUEEN NEW YORK INC</t>
  </si>
  <si>
    <t>POLYESTER</t>
  </si>
  <si>
    <t>735732943171</t>
  </si>
  <si>
    <t>WARMTH COMF CARMEN</t>
  </si>
  <si>
    <t>CMN-3CS-FUQU-IN-GRAY</t>
  </si>
  <si>
    <t>GRAY</t>
  </si>
  <si>
    <t>NO SIZE</t>
  </si>
  <si>
    <t>TEXTILES-EUROPE INC</t>
  </si>
  <si>
    <t>100% MICROFIBER MINK VELVET (FACE), 100% MICROFIBER (REVERSE)</t>
  </si>
  <si>
    <t>706256942223</t>
  </si>
  <si>
    <t>W ACCENT QN BDSKRT BASIC</t>
  </si>
  <si>
    <t>WA19QBS790</t>
  </si>
  <si>
    <t>HOTEL LUX BDG</t>
  </si>
  <si>
    <t>HOTEL BY CHARTER CLUB-MMG</t>
  </si>
  <si>
    <t>DROP: COTTON; PLATFORM: COTTON/POLYESTER</t>
  </si>
  <si>
    <t>732994459402</t>
  </si>
  <si>
    <t>CHENILLE MED KG BDSP</t>
  </si>
  <si>
    <t>CHNLLIVKG</t>
  </si>
  <si>
    <t>NATURAL</t>
  </si>
  <si>
    <t>PB SEASON BED</t>
  </si>
  <si>
    <t>MARTHA STEWART-MMG/COLLECTION 43417</t>
  </si>
  <si>
    <t>COTTON</t>
  </si>
  <si>
    <t>636193818544</t>
  </si>
  <si>
    <t>BOUQUET FQ COMF SET</t>
  </si>
  <si>
    <t>10002963FQ</t>
  </si>
  <si>
    <t>PINK</t>
  </si>
  <si>
    <t>FABRIC: COTTON; POLYESTER FILLING (COMFORTER) THREAD COUNT: 300</t>
  </si>
  <si>
    <t>86569209115</t>
  </si>
  <si>
    <t>JENNA CS GREY F/Q</t>
  </si>
  <si>
    <t>ID10-1728</t>
  </si>
  <si>
    <t>JLA HOME/E &amp; E CO LTD</t>
  </si>
  <si>
    <t>COMFORTER/SHAM: POLYESTER JERSEY FABRIC; COMFORTER WITH POLYESTER FILLING</t>
  </si>
  <si>
    <t>848971033432</t>
  </si>
  <si>
    <t>Z ZONEDOUGH Q MLFT</t>
  </si>
  <si>
    <t>ZZQQMPZD</t>
  </si>
  <si>
    <t>QUEEN</t>
  </si>
  <si>
    <t>PILLWS&amp;PADS</t>
  </si>
  <si>
    <t>MALOUF/CVB INC</t>
  </si>
  <si>
    <t>COVER: POLYESTER, RAYON FROM BAMBOO. FILL: POLYURETHANE FOAM</t>
  </si>
  <si>
    <t>718498145836</t>
  </si>
  <si>
    <t>PINECONE M FLANNEL FU SSBASIC</t>
  </si>
  <si>
    <t>MFNSSFLPCN</t>
  </si>
  <si>
    <t>LT BEIGE</t>
  </si>
  <si>
    <t>DEC PILL/THRW</t>
  </si>
  <si>
    <t>SHAVEL ASSOCIATES</t>
  </si>
  <si>
    <t>706256793498</t>
  </si>
  <si>
    <t>DISTRESSED CHEVRON Q EURO SHAM</t>
  </si>
  <si>
    <t>DI27QE790</t>
  </si>
  <si>
    <t>GOLD</t>
  </si>
  <si>
    <t>HOTEL BY CC-EDI/RWI/SARITA HANDA</t>
  </si>
  <si>
    <t>SHELL: COTTON/POLYESTER; FILL: POLYESTER; LINING: COTTON</t>
  </si>
  <si>
    <t>766195490407</t>
  </si>
  <si>
    <t>TH ABSTRACT DAC K</t>
  </si>
  <si>
    <t>TH1800590</t>
  </si>
  <si>
    <t>DOWN COMFORTR</t>
  </si>
  <si>
    <t>TOMMY HILFIGER HOME/HIMATSINGKA</t>
  </si>
  <si>
    <t>MADE IN CHINA</t>
  </si>
  <si>
    <t>675716965228</t>
  </si>
  <si>
    <t>LORETTA F 9PC COMF SET BASIC</t>
  </si>
  <si>
    <t>ID10-1218</t>
  </si>
  <si>
    <t>COMFORTER/SHAM/SHEET SET/DECORATIVE PILLOW/BEDSKIRT: POLYESTER; COMFORTER FILL: POLYESTER; DECORATIVE PILLOW FILL: POLYESTER</t>
  </si>
  <si>
    <t>86569289605</t>
  </si>
  <si>
    <t>NELLS DS KCK BL</t>
  </si>
  <si>
    <t>MP12-6679</t>
  </si>
  <si>
    <t>NAVY</t>
  </si>
  <si>
    <t>COTTON/POLYESTER</t>
  </si>
  <si>
    <t>734737621565</t>
  </si>
  <si>
    <t>UPSTATE ROBE BK/RED</t>
  </si>
  <si>
    <t>R21527N212OS</t>
  </si>
  <si>
    <t>OSFA REG</t>
  </si>
  <si>
    <t>TOWELS</t>
  </si>
  <si>
    <t>SUNHAM CO USA</t>
  </si>
  <si>
    <t>FABRIC: 100% COTTON</t>
  </si>
  <si>
    <t>675716642921</t>
  </si>
  <si>
    <t>PAUL T/TXL 4PC COMF SET BASIC</t>
  </si>
  <si>
    <t>ID10-376</t>
  </si>
  <si>
    <t>COMFORTER/PILLOW COVER/SHAM: POLYESTER; COMFORTER/PILLOW FILL: POLYESTER</t>
  </si>
  <si>
    <t>734737576230</t>
  </si>
  <si>
    <t>HELENA FL 8PC CS</t>
  </si>
  <si>
    <t>POLYESTER; COMFORTER FILL: POLYESTER</t>
  </si>
  <si>
    <t>738980756531</t>
  </si>
  <si>
    <t>ULTIMATE SHOWER CADDY</t>
  </si>
  <si>
    <t>SILVER</t>
  </si>
  <si>
    <t>BATH RUGS/ACC</t>
  </si>
  <si>
    <t>POPULAR BATH PRODUCTS</t>
  </si>
  <si>
    <t>750105141350</t>
  </si>
  <si>
    <t>PRIMA SILVER FIRM SQ</t>
  </si>
  <si>
    <t>10011958QN</t>
  </si>
  <si>
    <t>NO COLOR</t>
  </si>
  <si>
    <t>PILLOWS &amp; PAD</t>
  </si>
  <si>
    <t>HOTEL BY CHARTER CLUB-EDI/DOWNLITE</t>
  </si>
  <si>
    <t>MADE IN USA OF IMPORTED MATERIALS</t>
  </si>
  <si>
    <t>COVER AND PILLOW PROTECTOR: 450 TC 100% COTTON WOVEN JACQUARD; POLYESTER FILL</t>
  </si>
  <si>
    <t>86569227874</t>
  </si>
  <si>
    <t>MS REV PLUSH AVOCADO TW</t>
  </si>
  <si>
    <t>10028644TW</t>
  </si>
  <si>
    <t>BRIGHT GRN</t>
  </si>
  <si>
    <t>PB BLANKETS</t>
  </si>
  <si>
    <t>MARTHA STEWART-EDI/E &amp; E CO LTD</t>
  </si>
  <si>
    <t>657812167072</t>
  </si>
  <si>
    <t>COMFORT KNIT/SHERPA THRO</t>
  </si>
  <si>
    <t>4446-9074139577</t>
  </si>
  <si>
    <t>70X52</t>
  </si>
  <si>
    <t>BIDDEFORD BLANKETS LLC</t>
  </si>
  <si>
    <t>675716488260</t>
  </si>
  <si>
    <t>MP EMILIA NAT50X84 BASIC</t>
  </si>
  <si>
    <t>WIN40-116</t>
  </si>
  <si>
    <t>83/84 SGL</t>
  </si>
  <si>
    <t>FAKE-SILK FABRIC AND LINING: POLYESTER</t>
  </si>
  <si>
    <t>86569897336</t>
  </si>
  <si>
    <t>MP ZURI 25X25 PILLOW CCT</t>
  </si>
  <si>
    <t>MP30-4832</t>
  </si>
  <si>
    <t>MED BROWN</t>
  </si>
  <si>
    <t>25X25</t>
  </si>
  <si>
    <t>FAUX-FUR FABRIC: POLYESTER; POLYESTER FILL</t>
  </si>
  <si>
    <t>86569898562</t>
  </si>
  <si>
    <t>MP SACHI 60X70 THROW GY</t>
  </si>
  <si>
    <t>MP50-4906</t>
  </si>
  <si>
    <t>FAUX-FUR FABRIC: POLYESTER</t>
  </si>
  <si>
    <t>750105141312</t>
  </si>
  <si>
    <t>PRIMA SILVER SOFT SQ</t>
  </si>
  <si>
    <t>10011955QN</t>
  </si>
  <si>
    <t>800014157222</t>
  </si>
  <si>
    <t>TRADITIONAL F/Q 3PC</t>
  </si>
  <si>
    <t>22201803CMS</t>
  </si>
  <si>
    <t>ELLISON FIRST ASIA LLC</t>
  </si>
  <si>
    <t>FABRIC: POLYESTER; POLYESTER FILL 65 GSM</t>
  </si>
  <si>
    <t>646760114030</t>
  </si>
  <si>
    <t>FC ARTA BATH RUG 20X</t>
  </si>
  <si>
    <t>FCB000038</t>
  </si>
  <si>
    <t>CHARCOAL</t>
  </si>
  <si>
    <t>CREATIVE HOME IDEAS/YMF CARPET INC</t>
  </si>
  <si>
    <t>100% COTTON</t>
  </si>
  <si>
    <t>706258633280</t>
  </si>
  <si>
    <t>DMD DOT DEC 18X18 GRY</t>
  </si>
  <si>
    <t>D1818DOTGR</t>
  </si>
  <si>
    <t>LT/PAS GRY</t>
  </si>
  <si>
    <t>COVER: COTTON; FILL: POLYESTER</t>
  </si>
  <si>
    <t>675716665821</t>
  </si>
  <si>
    <t>MP RUCHEDFUR 20X20 PL RD</t>
  </si>
  <si>
    <t>MP30-1865</t>
  </si>
  <si>
    <t>RED</t>
  </si>
  <si>
    <t>20X20</t>
  </si>
  <si>
    <t>FAUX-FUR FACE: POLYESTER 220 GRAMS PER SQUARE METER; FAUX-FUR REVERSE: POLYESTER 180 GRAMS PER SQUARE METER; POLYESTER FILL</t>
  </si>
  <si>
    <t>675716791124</t>
  </si>
  <si>
    <t>PC PARKER 20X20 PL GY</t>
  </si>
  <si>
    <t>BASI30-0430</t>
  </si>
  <si>
    <t>FABRIC AND FILL: POLYESTER</t>
  </si>
  <si>
    <t>732997452356</t>
  </si>
  <si>
    <t>SILKY SATIN SHAM BASIC</t>
  </si>
  <si>
    <t>100064584ST</t>
  </si>
  <si>
    <t>BCP INC/MARTHA STEWART-MMG</t>
  </si>
  <si>
    <t>732994103336</t>
  </si>
  <si>
    <t>CC LEAVES BATH</t>
  </si>
  <si>
    <t>DARK BEIGE</t>
  </si>
  <si>
    <t>BATH TOWEL</t>
  </si>
  <si>
    <t>PB TOWELS</t>
  </si>
  <si>
    <t>91116713601</t>
  </si>
  <si>
    <t>LEAF TAUPE EM 3PC TW</t>
  </si>
  <si>
    <t>LEFSST</t>
  </si>
  <si>
    <t>BROWN</t>
  </si>
  <si>
    <t>SHEETS &amp;CASES</t>
  </si>
  <si>
    <t>COZY HOME FASHION/SANDER SALES ENT</t>
  </si>
  <si>
    <t>840037200413</t>
  </si>
  <si>
    <t>3 PIECE SOAP SET</t>
  </si>
  <si>
    <t>3PC1000-SOAP-060</t>
  </si>
  <si>
    <t>INDECOR HOME LLC</t>
  </si>
  <si>
    <t>21864384907</t>
  </si>
  <si>
    <t>BLUE SCROLL HAND TOWEL BASIC</t>
  </si>
  <si>
    <t>050332WBL</t>
  </si>
  <si>
    <t>HAND TOWEL</t>
  </si>
  <si>
    <t>AVANTI LINENS/AVANTI LINENS INC</t>
  </si>
  <si>
    <t>FABRIC: 100% COTTON (EXCLUSIVE OF EMBELLISHMENT); 500 GRAMS PER SQUARE METER</t>
  </si>
  <si>
    <t>706257491089</t>
  </si>
  <si>
    <t>MS SPA WASH BASIC</t>
  </si>
  <si>
    <t>MSPLSHWHTR</t>
  </si>
  <si>
    <t>LT/PAS PUR</t>
  </si>
  <si>
    <t>WASH CLOTH</t>
  </si>
  <si>
    <t>MARTHA STEWART-EDI/RWI/WELSPUN</t>
  </si>
  <si>
    <t>34086732272</t>
  </si>
  <si>
    <t>SERTA DOWN ALT S/Q P BASIC</t>
  </si>
  <si>
    <t>SRTADWNPILLOW</t>
  </si>
  <si>
    <t>AMERICAN FIBER IND/SPRINGS IND</t>
  </si>
  <si>
    <t>750105156958</t>
  </si>
  <si>
    <t>SPP EVRY PSTN PLW JUMBO</t>
  </si>
  <si>
    <t>FEDG0340WQ</t>
  </si>
  <si>
    <t>DOWN LITE INTERNATIONAL</t>
  </si>
  <si>
    <t>86569967923</t>
  </si>
  <si>
    <t>MPE DELANEY RMIABG Q RD</t>
  </si>
  <si>
    <t>MPE10-707</t>
  </si>
  <si>
    <t>FABRIC: POLYESTER; COMFORTER/PILLOW FILL: POLYESTER</t>
  </si>
  <si>
    <t>675716403164</t>
  </si>
  <si>
    <t>MP LOLA COMFSET K PP</t>
  </si>
  <si>
    <t>MP10-258</t>
  </si>
  <si>
    <t>COMFORTER/SHAM: COTTON, REVERSES TO COTTON/POLYESTER; THREAD COUNT: 200, REVERSES TO 180; BEDSKIRT: COTTON POLYESTER (DROP)/POLYESTER (PLATFORM); PILLOW: COTTON/POLYESTER; FILL: POLYESTER</t>
  </si>
  <si>
    <t>675716438173</t>
  </si>
  <si>
    <t>BAXTER CK COMF SET BLUE</t>
  </si>
  <si>
    <t>MP10-350</t>
  </si>
  <si>
    <t>COMFORTER AND SHAMS: POLYESTER; BEDSKIRT DROP: COTTON; BEDSKIRT PLATFORM: POLYPROPYLENE; DECORATIVE PILLOWS: POLYESTER; POLYESTER FILL; COMFORTER FILL: POLYESTER 270 GRAMS PER SQUARE METER</t>
  </si>
  <si>
    <t>846339080319</t>
  </si>
  <si>
    <t>ASTORIA MINK DRAPERY</t>
  </si>
  <si>
    <t>223509684PR</t>
  </si>
  <si>
    <t>83/84 DBL</t>
  </si>
  <si>
    <t>848742084960</t>
  </si>
  <si>
    <t>APRILE RD WP</t>
  </si>
  <si>
    <t>16T004237</t>
  </si>
  <si>
    <t>LT/PASPINK</t>
  </si>
  <si>
    <t>LUSH DECOR/TRIANGLE HOME FASHIONS</t>
  </si>
  <si>
    <t>810026171246</t>
  </si>
  <si>
    <t>MICROPLUSH TOPPER</t>
  </si>
  <si>
    <t>CC-MPMT-QN</t>
  </si>
  <si>
    <t>CHEER COLLECTION/DIGITALPRINTS USA</t>
  </si>
  <si>
    <t>MICROPLUSH</t>
  </si>
  <si>
    <t>86569154774</t>
  </si>
  <si>
    <t>TUSCANY CLST SF F/Q BASIC</t>
  </si>
  <si>
    <t>MP13-6119</t>
  </si>
  <si>
    <t>MED GREEN</t>
  </si>
  <si>
    <t>MICROFIBER FROM POLYESTER; COVERLET FILL: COTTON, POLYESTER</t>
  </si>
  <si>
    <t>732997452400</t>
  </si>
  <si>
    <t>VLVT FLRSH FQ QLT</t>
  </si>
  <si>
    <t>100020064FQ</t>
  </si>
  <si>
    <t>MED BEIGE</t>
  </si>
  <si>
    <t>SHELL BACK: POLYESTER</t>
  </si>
  <si>
    <t>738980887464</t>
  </si>
  <si>
    <t>IMPERIAL RUG/887464</t>
  </si>
  <si>
    <t>BEIGE</t>
  </si>
  <si>
    <t>735732103834</t>
  </si>
  <si>
    <t>CARMEN 4PC CMF QU</t>
  </si>
  <si>
    <t>CMN-4CS-QUEN-OV-NAVY</t>
  </si>
  <si>
    <t>DARK BLUE</t>
  </si>
  <si>
    <t>QNCOMFORTE</t>
  </si>
  <si>
    <t>FABRIC: POLYESTER; POLYESTER FILL</t>
  </si>
  <si>
    <t>651348296954</t>
  </si>
  <si>
    <t>MIKA PRDP BO 5484 LI BASIC</t>
  </si>
  <si>
    <t>414162600102SP5484</t>
  </si>
  <si>
    <t>SURE FIT HOME PRODUCTS LLC</t>
  </si>
  <si>
    <t>675716899998</t>
  </si>
  <si>
    <t>ELLIE F/Q BLUSH COMF SET</t>
  </si>
  <si>
    <t>ID10-1109</t>
  </si>
  <si>
    <t>190052066519</t>
  </si>
  <si>
    <t>52X96CTIMPTRECL BASIC</t>
  </si>
  <si>
    <t>52X96CTIMPTRECL</t>
  </si>
  <si>
    <t>SUPERIOR/HOME CITY INC</t>
  </si>
  <si>
    <t>86569005601</t>
  </si>
  <si>
    <t>RAINA DVS F/Q AQ/SV</t>
  </si>
  <si>
    <t>ID12-1388</t>
  </si>
  <si>
    <t>TURQ/AQUA</t>
  </si>
  <si>
    <t>FABRIC: POLYESTER; POLYESTER FILL 85 GSM</t>
  </si>
  <si>
    <t>675716556990</t>
  </si>
  <si>
    <t>MP OS RF 50X70 TR BR BASIC</t>
  </si>
  <si>
    <t>MP50-1084</t>
  </si>
  <si>
    <t>VALA78X7</t>
  </si>
  <si>
    <t>FAUX-FUR FACE: POLYESTER; FAUX-FUR BACK: 220 GRAMS PER SQUARE METER POLYESTER</t>
  </si>
  <si>
    <t>885308442253</t>
  </si>
  <si>
    <t>NADYA PRINT THERMALAYER BASIC</t>
  </si>
  <si>
    <t>12996052108LIN</t>
  </si>
  <si>
    <t>KEECO LLC/GRASSI ASSOCIATES INC</t>
  </si>
  <si>
    <t>POLYESTER/COTTON/RAYON/LINEN; LINING: POLYESTER</t>
  </si>
  <si>
    <t>675716571924</t>
  </si>
  <si>
    <t>SARATOGA 50X95 PNL GR</t>
  </si>
  <si>
    <t>MP40-1284</t>
  </si>
  <si>
    <t>POLYESTER/RAYON/COTTON</t>
  </si>
  <si>
    <t>657812167065</t>
  </si>
  <si>
    <t>4446-9074139482</t>
  </si>
  <si>
    <t>BLUE</t>
  </si>
  <si>
    <t>844928003725</t>
  </si>
  <si>
    <t>ALLERZIPSMTH PLW PCT KG BASIC</t>
  </si>
  <si>
    <t>BOM1180F</t>
  </si>
  <si>
    <t>PROTECT-A-BED/JAB DISTRIBUTORS LLC</t>
  </si>
  <si>
    <t>SHELL: POLYESTER; LINING: POLYURETHANE</t>
  </si>
  <si>
    <t>675716762667</t>
  </si>
  <si>
    <t>MP EMILIA WP BASIC</t>
  </si>
  <si>
    <t>MP40-2972</t>
  </si>
  <si>
    <t>DARK GREEN</t>
  </si>
  <si>
    <t>675716996857</t>
  </si>
  <si>
    <t>MP ZURI 60X70 TRW SD BASIC</t>
  </si>
  <si>
    <t>MP50-4813</t>
  </si>
  <si>
    <t>36326580780</t>
  </si>
  <si>
    <t>RAINE</t>
  </si>
  <si>
    <t>SATURDAY KNIGHT LTD</t>
  </si>
  <si>
    <t>100% POLYESTER</t>
  </si>
  <si>
    <t>86569987426</t>
  </si>
  <si>
    <t>CERES 50X84 WP WT BASIC</t>
  </si>
  <si>
    <t>MP40-5468</t>
  </si>
  <si>
    <t>675716488321</t>
  </si>
  <si>
    <t>MP EMILIA BEIGE50X84 BASIC</t>
  </si>
  <si>
    <t>WIN40-118</t>
  </si>
  <si>
    <t>25695960552</t>
  </si>
  <si>
    <t>MSC CUSTCMF PL FRM K BASIC</t>
  </si>
  <si>
    <t>96055KF</t>
  </si>
  <si>
    <t>KING</t>
  </si>
  <si>
    <t>MARTHA STEWART-MMG/HOLLANDER</t>
  </si>
  <si>
    <t>675716725563</t>
  </si>
  <si>
    <t>ADEL 72X72 SC AQUA</t>
  </si>
  <si>
    <t>ID70-791</t>
  </si>
  <si>
    <t>85GSM POLYESTER</t>
  </si>
  <si>
    <t>733003221362</t>
  </si>
  <si>
    <t>DAMASK SOLID SLATE TW BS</t>
  </si>
  <si>
    <t>DDSLTWBSLA</t>
  </si>
  <si>
    <t>CC MOD BEDDNG</t>
  </si>
  <si>
    <t>CHARTER CLUB-EDI/RWI/VTX</t>
  </si>
  <si>
    <t>500-THREAD COUNT PIMA COTTON</t>
  </si>
  <si>
    <t>885308405661</t>
  </si>
  <si>
    <t>WAVELRY DON BOX PLEA BASIC</t>
  </si>
  <si>
    <t>15422052018CRI</t>
  </si>
  <si>
    <t>WINE</t>
  </si>
  <si>
    <t>814740022884</t>
  </si>
  <si>
    <t>DEAN CURTN PNL PAIR</t>
  </si>
  <si>
    <t>DEAN P IVRY 37X84</t>
  </si>
  <si>
    <t>NANSHING AMERICA INC</t>
  </si>
  <si>
    <t>675716669904</t>
  </si>
  <si>
    <t>MP ZURI 20X20 PILLOW BRN</t>
  </si>
  <si>
    <t>MP30-1914</t>
  </si>
  <si>
    <t>706256763552</t>
  </si>
  <si>
    <t>MS CARNIVAL DIAMOND</t>
  </si>
  <si>
    <t>BEACHTOWEL</t>
  </si>
  <si>
    <t>MARTHA STEWART-MMG</t>
  </si>
  <si>
    <t>29927435139</t>
  </si>
  <si>
    <t>CM LICHTENBERG SUN ZERO BASIC</t>
  </si>
  <si>
    <t>GRANT</t>
  </si>
  <si>
    <t>DARK BROWN</t>
  </si>
  <si>
    <t>S LICHTENBERG &amp; CO.</t>
  </si>
  <si>
    <t>25695977208</t>
  </si>
  <si>
    <t>LRL DALTON STONE TWIN PA</t>
  </si>
  <si>
    <t>97720-5679</t>
  </si>
  <si>
    <t>LAUREN RALPH LAUREN/HOLLANDER SLEEP</t>
  </si>
  <si>
    <t>840008317058</t>
  </si>
  <si>
    <t>LSSC MP TX</t>
  </si>
  <si>
    <t>LSSC0PTXMP</t>
  </si>
  <si>
    <t>LTMATTRESS</t>
  </si>
  <si>
    <t>SURFACE: POLYESTER. BACKING: POLYURETHANE</t>
  </si>
  <si>
    <t>732997796740</t>
  </si>
  <si>
    <t>636202791943</t>
  </si>
  <si>
    <t>GRMCYGT LATTE SHAM</t>
  </si>
  <si>
    <t>100027924ST</t>
  </si>
  <si>
    <t>SHELL/FILL: COTTON; EMBROIDERY: POLYESTER</t>
  </si>
  <si>
    <t>732995737776</t>
  </si>
  <si>
    <t>SUNSET FLORAL QLT ST</t>
  </si>
  <si>
    <t>100037829ST</t>
  </si>
  <si>
    <t>29927563023</t>
  </si>
  <si>
    <t>CURTAIN BASIC</t>
  </si>
  <si>
    <t>885308326256</t>
  </si>
  <si>
    <t>STRIPE ENSEMBLE VAL BASIC</t>
  </si>
  <si>
    <t>14466052016POR</t>
  </si>
  <si>
    <t>21864287659</t>
  </si>
  <si>
    <t>AVANTI PREM SCRPT "D" IVBASIC</t>
  </si>
  <si>
    <t>2253-D FTIP</t>
  </si>
  <si>
    <t>FINGER TIP</t>
  </si>
  <si>
    <t>32281205515</t>
  </si>
  <si>
    <t>HARRY POTTER SEC YR TW C</t>
  </si>
  <si>
    <t>JF20551BBCD</t>
  </si>
  <si>
    <t>DISNEY/JAY FRANCO &amp; SONS</t>
  </si>
  <si>
    <t>675716559021</t>
  </si>
  <si>
    <t>MADISON PARK CASHMERE BASIC</t>
  </si>
  <si>
    <t>MPS50-004</t>
  </si>
  <si>
    <t>CASHMERE</t>
  </si>
  <si>
    <t>769924508732</t>
  </si>
  <si>
    <t>NMKCOMFSET7PCQUEEN87 BASIC</t>
  </si>
  <si>
    <t>HOME DYNAMIX LLC</t>
  </si>
  <si>
    <t>675716488024</t>
  </si>
  <si>
    <t>BRIDGEPORT K COMF SET GY</t>
  </si>
  <si>
    <t>MP10-603</t>
  </si>
  <si>
    <t>FAUX-SUEDE COMFORTER AND SHAM FACE: POLYESTER; POLYESTER REVERSE; BEDSKIRT: POLYESTER; DECORATIVE PILLOWS: POLYESTER; POLYESTER FILL; COMFORTER FILL: POLYESTER 270 GRAMS PER SQUARE METER</t>
  </si>
  <si>
    <t>675716808396</t>
  </si>
  <si>
    <t>MERRITT CK CS SS G/Y</t>
  </si>
  <si>
    <t>MPE10-278</t>
  </si>
  <si>
    <t>COMFORTER/SHAM/BEDSKIRT: POLYESTER 85 GRAMS PER SQUARE METER; PILLOW (COVER): POLYESTER; SHEETS: COTTON; THREAD COUNT: 180; PILLOW FILL: POLYESTER; COMFORTER FILL: POLYESTER 250 GRAMS PER SQUARE METER</t>
  </si>
  <si>
    <t>657812155888</t>
  </si>
  <si>
    <t>BDF CMFT KT QN LAVENDER</t>
  </si>
  <si>
    <t>1003-9052127414</t>
  </si>
  <si>
    <t>732996141671</t>
  </si>
  <si>
    <t>HAYDEN TW/TWXL CS BASIC</t>
  </si>
  <si>
    <t>100036795TW</t>
  </si>
  <si>
    <t>CLSD-LKY BEDD</t>
  </si>
  <si>
    <t>LUCKY - MMG</t>
  </si>
  <si>
    <t>FABRIC: COTTON; FILL: POLYESTER</t>
  </si>
  <si>
    <t>848742066539</t>
  </si>
  <si>
    <t>LEAH ROOM DARKENING WINDBASIC</t>
  </si>
  <si>
    <t>16T002207</t>
  </si>
  <si>
    <t>818023017338</t>
  </si>
  <si>
    <t>HOM SLUMBER PAD BASIC</t>
  </si>
  <si>
    <t>0764-HMD-BRN</t>
  </si>
  <si>
    <t>N/A</t>
  </si>
  <si>
    <t>SHARPER IMAGE/SINOMAX USA INC</t>
  </si>
  <si>
    <t>FOAM UPPER; SUEDE BOTTOM</t>
  </si>
  <si>
    <t>675716848316</t>
  </si>
  <si>
    <t>BILOXI F/Q DVT SET NAVY</t>
  </si>
  <si>
    <t>MP12-3736</t>
  </si>
  <si>
    <t>DUVET AND SHAMS: POLYESTER; DECORATIVE PILLOWS: POLYESTER; POLYESTER FILL</t>
  </si>
  <si>
    <t>86569154798</t>
  </si>
  <si>
    <t>TUSCANY CLST BS F/Q BASIC</t>
  </si>
  <si>
    <t>MP13-6121</t>
  </si>
  <si>
    <t>MED PINK</t>
  </si>
  <si>
    <t>675716506100</t>
  </si>
  <si>
    <t>CASSY F/Q 5PC CVL SET BASIC</t>
  </si>
  <si>
    <t>ID80-030</t>
  </si>
  <si>
    <t>COVERLET/SHAM/PILLOW COVER: POLYESTER; COVERLET/SHAM FILL: COTTON 200 GRAMS PER SQUARE METER; PILLOW FILL: POLYESTER</t>
  </si>
  <si>
    <t>675716320102</t>
  </si>
  <si>
    <t>MZ PIPELINE OVE F/Q CS</t>
  </si>
  <si>
    <t>MZ10-010</t>
  </si>
  <si>
    <t>COMFORTER: PRINTED POLYESTER PEACH SKIN; BRUSHED POLYESTER REVERSE; FILL: POLYESTER SHAM: PRINTED POLYESTER PEACH SKIN; BRUSHED POLYESTER REVERSE DECORATIVE PILLOW: FABRIC/FILL: POLYESTER</t>
  </si>
  <si>
    <t>754605639478</t>
  </si>
  <si>
    <t>NEVEAH BASIC</t>
  </si>
  <si>
    <t>QT3394SA</t>
  </si>
  <si>
    <t>WESTPOINT HOME INC</t>
  </si>
  <si>
    <t>47225027658</t>
  </si>
  <si>
    <t>SPACE ROCKET BASIC</t>
  </si>
  <si>
    <t>2-745901MU</t>
  </si>
  <si>
    <t>BRYAN KEITH/CHF INDUSTRIES</t>
  </si>
  <si>
    <t>635983499239</t>
  </si>
  <si>
    <t>SOFT LUXURY PLUSH 10 BASIC</t>
  </si>
  <si>
    <t>BMI9455L2</t>
  </si>
  <si>
    <t>ELLA JAYNE/PILLOW GUY INC</t>
  </si>
  <si>
    <t>MADE IN USA</t>
  </si>
  <si>
    <t>SHELL: 100% COTTON, FILL: 100% POLYESTER FINE GEL FIBERS</t>
  </si>
  <si>
    <t>85214029993</t>
  </si>
  <si>
    <t>NJ JUNGLE BABIES MOBILE BASIC</t>
  </si>
  <si>
    <t>GREEN</t>
  </si>
  <si>
    <t>NOJO BABY &amp; KIDS INC</t>
  </si>
  <si>
    <t>26865753462</t>
  </si>
  <si>
    <t>EL ESSEX GR GRAY 84'' BASIC</t>
  </si>
  <si>
    <t>LT/PAS BWN</t>
  </si>
  <si>
    <t>ELRENE HOME FASHIONS</t>
  </si>
  <si>
    <t>LINEN/RAYON</t>
  </si>
  <si>
    <t>783048031396</t>
  </si>
  <si>
    <t>TSE BFLO PLD GRY TXL CMS</t>
  </si>
  <si>
    <t>CS2093GYTX-1500</t>
  </si>
  <si>
    <t>PEM AMERICA INC</t>
  </si>
  <si>
    <t>FACE AND BACK CLOTH ARE PRINTED 100% MICROFIBER POLYESTER WITH POLYESTER FIBER FILLING.</t>
  </si>
  <si>
    <t>80166660331</t>
  </si>
  <si>
    <t>BAC HEP SHAG SILV 27X45</t>
  </si>
  <si>
    <t>BACOVA GUILD LTD/RONILE INC</t>
  </si>
  <si>
    <t>675716976798</t>
  </si>
  <si>
    <t>MP QUEBEC 20X20 PL RD</t>
  </si>
  <si>
    <t>MP30-4650</t>
  </si>
  <si>
    <t>SHELL: POLYESTER; FILLING: COTTON</t>
  </si>
  <si>
    <t>697182610013</t>
  </si>
  <si>
    <t>MS MIRROR IMAGE TISS</t>
  </si>
  <si>
    <t>MSMETTISS</t>
  </si>
  <si>
    <t>PB-BTH-RUG/AC</t>
  </si>
  <si>
    <t>MARTHA STEWART-EDI/PARADIGM</t>
  </si>
  <si>
    <t>POLISHED METAL</t>
  </si>
  <si>
    <t>86569909855</t>
  </si>
  <si>
    <t>JULIE PANEL 50X95 AQUA BASIC</t>
  </si>
  <si>
    <t>SS40-0025</t>
  </si>
  <si>
    <t>96675173026</t>
  </si>
  <si>
    <t>SG COOL FUSION MP F</t>
  </si>
  <si>
    <t>SOFT-TEX MFG CO/SOFT-TEX INT'L INC</t>
  </si>
  <si>
    <t>30319605849</t>
  </si>
  <si>
    <t>PILLOW BASIC</t>
  </si>
  <si>
    <t>SWISS COMFORTS</t>
  </si>
  <si>
    <t>100% COTTON COVER, 300 THREAD COUNT, MICROFIBER FILL</t>
  </si>
  <si>
    <t>675716616113</t>
  </si>
  <si>
    <t>SERENE 50X84 PANEL RED</t>
  </si>
  <si>
    <t>MP40-1531</t>
  </si>
  <si>
    <t>FABRIC: POLYESTER</t>
  </si>
  <si>
    <t>86569096685</t>
  </si>
  <si>
    <t>SUNSET OMBRE WSTBSKT</t>
  </si>
  <si>
    <t>MCH71-837</t>
  </si>
  <si>
    <t>CERAMIC</t>
  </si>
  <si>
    <t>766380579740</t>
  </si>
  <si>
    <t>H CENTURY JAR</t>
  </si>
  <si>
    <t>HCENJAR</t>
  </si>
  <si>
    <t>HOTEL BY CHARTER CLUB-EDI/O'WELL</t>
  </si>
  <si>
    <t>PORCELAIN/ACACIA WOOD</t>
  </si>
  <si>
    <t>766370516786</t>
  </si>
  <si>
    <t>H MODERN STAIN JAR</t>
  </si>
  <si>
    <t>HMODSTJAR</t>
  </si>
  <si>
    <t>HOTEL BY CHARTER CLUB/DEWAN &amp; SONS</t>
  </si>
  <si>
    <t>BRUSHED STAINLESS STEEL</t>
  </si>
  <si>
    <t>54006252352</t>
  </si>
  <si>
    <t>SUTTON 52X84 IV BASIC</t>
  </si>
  <si>
    <t>SUPN84IV12</t>
  </si>
  <si>
    <t>BEIGEKHAKI</t>
  </si>
  <si>
    <t>ACHIM IMPORTING CO INC</t>
  </si>
  <si>
    <t>783048024060</t>
  </si>
  <si>
    <t>TSE BLUSH FQ DS</t>
  </si>
  <si>
    <t>DCS1657BSFQ-18</t>
  </si>
  <si>
    <t>100% MICROFIBER POLYESTER.</t>
  </si>
  <si>
    <t>783048998477</t>
  </si>
  <si>
    <t>TSE WHITE FQ DS</t>
  </si>
  <si>
    <t>DCS1657WTQ-1800</t>
  </si>
  <si>
    <t>750105144603</t>
  </si>
  <si>
    <t>MS COOL FIRM K</t>
  </si>
  <si>
    <t>10026340KG</t>
  </si>
  <si>
    <t>MARTHA STEWART-EDI/DOWNLITE</t>
  </si>
  <si>
    <t>MADE IN USA AND IMPORTED</t>
  </si>
  <si>
    <t>86569103772</t>
  </si>
  <si>
    <t>FREDA 14PC SET</t>
  </si>
  <si>
    <t>MCH70-945</t>
  </si>
  <si>
    <t>SHOWER CURTAIN:POLYESTER; BATH RUG: POLYESTER ; SHOWER CURTAIN HOOKS: METAL</t>
  </si>
  <si>
    <t>766370516830</t>
  </si>
  <si>
    <t>H MODERN STAIN TRY</t>
  </si>
  <si>
    <t>HMODSTTRY</t>
  </si>
  <si>
    <t>675716969318</t>
  </si>
  <si>
    <t>CECILY 50X84 WP GY</t>
  </si>
  <si>
    <t>MP40-4609</t>
  </si>
  <si>
    <t>54006241387</t>
  </si>
  <si>
    <t>TRANQUI 50X63 GR</t>
  </si>
  <si>
    <t>TQPN63GR06</t>
  </si>
  <si>
    <t>709271453118</t>
  </si>
  <si>
    <t>STEVE STD NY SHAM</t>
  </si>
  <si>
    <t>1910158-ST-N1-D6</t>
  </si>
  <si>
    <t>NEO COLLECTNS</t>
  </si>
  <si>
    <t>CALVIN KLEIN HOME/HIMATSINGKA AMER</t>
  </si>
  <si>
    <t>COTTON/MODAL</t>
  </si>
  <si>
    <t>783048113405</t>
  </si>
  <si>
    <t>RIDGEFIELD TW 3PC COMF</t>
  </si>
  <si>
    <t>CS3246TW-1540</t>
  </si>
  <si>
    <t>877692009105</t>
  </si>
  <si>
    <t>H STONE TUM</t>
  </si>
  <si>
    <t>HTLSTTUM</t>
  </si>
  <si>
    <t>HOTEL BY CHARTER CLUB-EDI/AMG</t>
  </si>
  <si>
    <t>POLISHED MARBLE</t>
  </si>
  <si>
    <t>34299101179</t>
  </si>
  <si>
    <t>CC MICROFIBER LINER</t>
  </si>
  <si>
    <t>CCMICRLINI</t>
  </si>
  <si>
    <t>CHARTER CLUB-EDI/EXCELL</t>
  </si>
  <si>
    <t>POLYESTER MICROFIBER</t>
  </si>
  <si>
    <t>81806448944</t>
  </si>
  <si>
    <t>ANTINA GREY PRINT 84 BASIC</t>
  </si>
  <si>
    <t>FZR02KJB2MLT</t>
  </si>
  <si>
    <t>732996500560</t>
  </si>
  <si>
    <t>CC LAST ACT FIRM KG BASIC</t>
  </si>
  <si>
    <t>100075939KG</t>
  </si>
  <si>
    <t>CHARTER CLUB-EDI/DOWNLITE INT'L</t>
  </si>
  <si>
    <t>29927440997</t>
  </si>
  <si>
    <t>LICHTENBERG ELATION HEATBASIC</t>
  </si>
  <si>
    <t>ELATION</t>
  </si>
  <si>
    <t>40X84/7</t>
  </si>
  <si>
    <t>29927313727</t>
  </si>
  <si>
    <t>EDEN TIER CURTAIN BASIC</t>
  </si>
  <si>
    <t>814945026199</t>
  </si>
  <si>
    <t>TAILOREDBEDSKIRT WHI</t>
  </si>
  <si>
    <t>1706TBS-WHT-K</t>
  </si>
  <si>
    <t>DE MOOCCI/ORIENT HOME COLLECTION</t>
  </si>
  <si>
    <t>29927313710</t>
  </si>
  <si>
    <t>MULT EDEN TIER CURTAIN BASIC</t>
  </si>
  <si>
    <t>25695993376</t>
  </si>
  <si>
    <t>ECOSMART DOWNALT PLW</t>
  </si>
  <si>
    <t>99337-5679</t>
  </si>
  <si>
    <t>100% COTTON; POLYESTER DOWN ALTERNATIVE FILL</t>
  </si>
  <si>
    <t>25695988501</t>
  </si>
  <si>
    <t>LRL LOGO 300TC COTTON LOBASIC</t>
  </si>
  <si>
    <t>98850-5679</t>
  </si>
  <si>
    <t>21864378159</t>
  </si>
  <si>
    <t>WHITE/SILVER MONO 3PC LP/TIP-J</t>
  </si>
  <si>
    <t>02407LPFT-J</t>
  </si>
  <si>
    <t>LOTION PUMP: CERAMIC; FINGERTIP TOWELS: 100% COTTON, EXCLUSIVE OF EMBELLISHMENT</t>
  </si>
  <si>
    <t>726895082074</t>
  </si>
  <si>
    <t>QD SUPIMA BATH TOWEL BASIC</t>
  </si>
  <si>
    <t>DARK RED</t>
  </si>
  <si>
    <t>MMG-HOTEL BY CC</t>
  </si>
  <si>
    <t>848405036657</t>
  </si>
  <si>
    <t>GREY PAISLEY B</t>
  </si>
  <si>
    <t>MACPRO194105</t>
  </si>
  <si>
    <t>MAINSTREAM INTERNATIONAL INC</t>
  </si>
  <si>
    <t>766380347202</t>
  </si>
  <si>
    <t>CC CLASSIC H IVO BASIC</t>
  </si>
  <si>
    <t>CCLASHIVO</t>
  </si>
  <si>
    <t>PIMA COTTON</t>
  </si>
  <si>
    <t>848405036718</t>
  </si>
  <si>
    <t>GREY PAISLEY H</t>
  </si>
  <si>
    <t>MACPRO194111</t>
  </si>
  <si>
    <t>848405036770</t>
  </si>
  <si>
    <t>GREY PAISLEY W</t>
  </si>
  <si>
    <t>MACPRO194117</t>
  </si>
  <si>
    <t>86569326096</t>
  </si>
  <si>
    <t>DOLORES 7PC CS K NY</t>
  </si>
  <si>
    <t>MP10-7077</t>
  </si>
  <si>
    <t>859161000004</t>
  </si>
  <si>
    <t>PATCHES TW 5PC COMF SET</t>
  </si>
  <si>
    <t>PATCHES PURPLE</t>
  </si>
  <si>
    <t>MED PURPLE</t>
  </si>
  <si>
    <t>JETRICH CANADA LIMITED</t>
  </si>
  <si>
    <t>96675641082</t>
  </si>
  <si>
    <t>MS 3 IN TOPPER Q S15</t>
  </si>
  <si>
    <t>ASSORTED</t>
  </si>
  <si>
    <t>MARTHA STEWART-EDI/SOFT-TEX MFG CO</t>
  </si>
  <si>
    <t>COVER: POLYESTER/SPANDEX/COTTON; FOAM: POLYURATHANE MEMORY FOAM</t>
  </si>
  <si>
    <t>86569008787</t>
  </si>
  <si>
    <t>RIANON COMFORTER SET</t>
  </si>
  <si>
    <t>MP10-5625</t>
  </si>
  <si>
    <t>COMFORTER/SHAM - 205GSM 100% COTTON WITH WAFFLE TEXTURE, BUTTON DECORATION, COMFORTER FILL - 100% POLYESTER</t>
  </si>
  <si>
    <t>675716510169</t>
  </si>
  <si>
    <t>MP DONOVAN RED KG CS</t>
  </si>
  <si>
    <t>MP10-750</t>
  </si>
  <si>
    <t>86569193421</t>
  </si>
  <si>
    <t>GIA CMS BLUSH KCK BASIC</t>
  </si>
  <si>
    <t>MP10-6211</t>
  </si>
  <si>
    <t>COMFORTER/SHAM: POLYESTER LONG FUR FACE, POLYESTER MINK BACK; COMFORTER WITH POLYESTER FILLING</t>
  </si>
  <si>
    <t>675716784195</t>
  </si>
  <si>
    <t>ZURI F/Q CHO COMF SET BASIC</t>
  </si>
  <si>
    <t>MP10-3074</t>
  </si>
  <si>
    <t>FABRIC: POLYESTER 260 GSM, REVERSES TO 180 GSM; COMFORTER/PILLOW FILL: POLYESTER</t>
  </si>
  <si>
    <t>706257816110</t>
  </si>
  <si>
    <t>SMOKE DAMSK KG COMF SET</t>
  </si>
  <si>
    <t>DCKGDSKSM</t>
  </si>
  <si>
    <t>693614012622</t>
  </si>
  <si>
    <t>LOFTY 100 COTTON PL BASIC</t>
  </si>
  <si>
    <t>EJHFBFC3</t>
  </si>
  <si>
    <t>QNMATTRESS</t>
  </si>
  <si>
    <t>675716780562</t>
  </si>
  <si>
    <t>ID SENNA K/CK AQ CS</t>
  </si>
  <si>
    <t>ID10-898</t>
  </si>
  <si>
    <t>734737549685</t>
  </si>
  <si>
    <t>CLIP JAQ PK TW COMF BASIC</t>
  </si>
  <si>
    <t>CLPJQPKTW</t>
  </si>
  <si>
    <t>MRTH STWRT WH</t>
  </si>
  <si>
    <t>MMG-MARTHA STEWART-EDI/SUNHAM HOME</t>
  </si>
  <si>
    <t>FABRIC: 100% COTTON; POLYESTER FILL (270 GSM COMFORTER)</t>
  </si>
  <si>
    <t>635983499598</t>
  </si>
  <si>
    <t>OVERSTUFFED LUXURY P BASIC</t>
  </si>
  <si>
    <t>BMI10191L2S</t>
  </si>
  <si>
    <t>SINGLE</t>
  </si>
  <si>
    <t>SHELL: 220 THREAD COUNT POLYESTER MICROFIBER, FILL: 100% DOWN ALTERNATIVE FINE GEL FIBERS</t>
  </si>
  <si>
    <t>693614011571</t>
  </si>
  <si>
    <t>WATERPROOFHYPOALL BASIC</t>
  </si>
  <si>
    <t>EJHMPWP4</t>
  </si>
  <si>
    <t>KGMATTRESS</t>
  </si>
  <si>
    <t>726895980721</t>
  </si>
  <si>
    <t>HNYCM DEC 22X22</t>
  </si>
  <si>
    <t>HOTEL BY C CLUB-EDI/RWI/FA</t>
  </si>
  <si>
    <t>COTTON/POLYESTER.</t>
  </si>
  <si>
    <t>675716878191</t>
  </si>
  <si>
    <t>KASEY F/Q COMF SET GY</t>
  </si>
  <si>
    <t>MPE10-348</t>
  </si>
  <si>
    <t>COMFORTER/SHAM: POLYESTER 85 GRAMS PER SQUARE METER; PILLOW: POLYESTER COVER; COMFORTER FILL: POLYESTER 250 GRAMS PER SQUARE METER; PILLOW FILL: POLYESTER</t>
  </si>
  <si>
    <t>693614011564</t>
  </si>
  <si>
    <t>EJHMPWP3</t>
  </si>
  <si>
    <t>848742078082</t>
  </si>
  <si>
    <t>RILEY VALANCE BLUSH BASIC</t>
  </si>
  <si>
    <t>16T003474</t>
  </si>
  <si>
    <t>VALA15X52</t>
  </si>
  <si>
    <t>791551750628</t>
  </si>
  <si>
    <t>PLUSHRAISEDGRID FQ BEIG BASIC</t>
  </si>
  <si>
    <t>E4389-FQ-015</t>
  </si>
  <si>
    <t>BERKSHIRE BLANKET</t>
  </si>
  <si>
    <t>675716716479</t>
  </si>
  <si>
    <t>MASSA 50X84 WC IVORY</t>
  </si>
  <si>
    <t>BM40-903</t>
  </si>
  <si>
    <t>693614011519</t>
  </si>
  <si>
    <t>BIGSOFT FIBER BED BASIC</t>
  </si>
  <si>
    <t>EJHFBBS2</t>
  </si>
  <si>
    <t>RFMATTRESS</t>
  </si>
  <si>
    <t>842901013631</t>
  </si>
  <si>
    <t>IZUTECH 1" IRON-PURPLE BASIC</t>
  </si>
  <si>
    <t>IZAPP9953</t>
  </si>
  <si>
    <t>PURPLE</t>
  </si>
  <si>
    <t>BEAUTY UNLIMITED/BEAUTY REACTION</t>
  </si>
  <si>
    <t>693614011540</t>
  </si>
  <si>
    <t>EJHMPWP1</t>
  </si>
  <si>
    <t>RTMATTRESS</t>
  </si>
  <si>
    <t>840456040393</t>
  </si>
  <si>
    <t>STEENA4039 BASIC</t>
  </si>
  <si>
    <t>STEENA4039</t>
  </si>
  <si>
    <t>DUCK RIVER TEXTILE</t>
  </si>
  <si>
    <t>657812167089</t>
  </si>
  <si>
    <t>4446-9074139590</t>
  </si>
  <si>
    <t>628961001043</t>
  </si>
  <si>
    <t>HELLO</t>
  </si>
  <si>
    <t>JET9429</t>
  </si>
  <si>
    <t>LT/PASBLUE</t>
  </si>
  <si>
    <t>12 SGL</t>
  </si>
  <si>
    <t>86569170651</t>
  </si>
  <si>
    <t>MELODY</t>
  </si>
  <si>
    <t>MCH70-1138</t>
  </si>
  <si>
    <t>86569111319</t>
  </si>
  <si>
    <t>SOLANDIS SHOWER CURTAIN</t>
  </si>
  <si>
    <t>MCH70-996</t>
  </si>
  <si>
    <t>POLYESTER 95GSM</t>
  </si>
  <si>
    <t>628961000299</t>
  </si>
  <si>
    <t>ANASTASIA PILLOW</t>
  </si>
  <si>
    <t>JET9174</t>
  </si>
  <si>
    <t>16X24</t>
  </si>
  <si>
    <t>842896118694</t>
  </si>
  <si>
    <t>DANCING FLAMINGOS PILLOWBASIC</t>
  </si>
  <si>
    <t>A11102</t>
  </si>
  <si>
    <t>ZUO MODERN CONTEMPORARY INC</t>
  </si>
  <si>
    <t>PV FLEECE; FOAM FILLING</t>
  </si>
  <si>
    <t>732995098174</t>
  </si>
  <si>
    <t>DEC 14X20 LLAMA</t>
  </si>
  <si>
    <t>14X20</t>
  </si>
  <si>
    <t>MARTHA STEWART-EDI/BALTIC LINENS</t>
  </si>
  <si>
    <t>ALL POLYESTER</t>
  </si>
  <si>
    <t>885308278890</t>
  </si>
  <si>
    <t>ROUND AND ROUND BASIC</t>
  </si>
  <si>
    <t>13703052084NVY</t>
  </si>
  <si>
    <t>86569170620</t>
  </si>
  <si>
    <t>NEWTON</t>
  </si>
  <si>
    <t>MCH70-1136</t>
  </si>
  <si>
    <t>FABRIC: POLYESTER 85 GRAMS PER SQUARE METER</t>
  </si>
  <si>
    <t>746885368735</t>
  </si>
  <si>
    <t>PRESTON 216" SCARF T BASIC</t>
  </si>
  <si>
    <t>WC703444076216</t>
  </si>
  <si>
    <t>NATCO/WINDHAM WEAVE/WINDHAM TRADING</t>
  </si>
  <si>
    <t>86569111210</t>
  </si>
  <si>
    <t>FIONA SHOWER CURTAIN</t>
  </si>
  <si>
    <t>MCH70-986</t>
  </si>
  <si>
    <t>POLYESTER 85GSM</t>
  </si>
  <si>
    <t>675716665807</t>
  </si>
  <si>
    <t>MP RUCHEDFUR 20X20 PL IY</t>
  </si>
  <si>
    <t>MP30-1863</t>
  </si>
  <si>
    <t>86569910417</t>
  </si>
  <si>
    <t>MERRITT 72X72 SC BLUSH BASIC</t>
  </si>
  <si>
    <t>MPE70-632</t>
  </si>
  <si>
    <t>96675911048</t>
  </si>
  <si>
    <t>ESSENTIALS Q MPR</t>
  </si>
  <si>
    <t>180TC POLYESTER</t>
  </si>
  <si>
    <t>734737572959</t>
  </si>
  <si>
    <t>SILK SOLID EYEMASK BLUSH</t>
  </si>
  <si>
    <t>19672EM</t>
  </si>
  <si>
    <t>ALL SILK</t>
  </si>
  <si>
    <t>783048998811</t>
  </si>
  <si>
    <t>TSE WHITE F SHEET SET</t>
  </si>
  <si>
    <t>SS1658WTFU-4700</t>
  </si>
  <si>
    <t>734737594968</t>
  </si>
  <si>
    <t>HPPTYHOP LAV 2PC SET</t>
  </si>
  <si>
    <t>R20111AB272PCSET</t>
  </si>
  <si>
    <t>885308126979</t>
  </si>
  <si>
    <t>MERIDIAN BASIC</t>
  </si>
  <si>
    <t>11250042X084BK</t>
  </si>
  <si>
    <t>840008316976</t>
  </si>
  <si>
    <t>LSSC 5P TT</t>
  </si>
  <si>
    <t>LSSC0PTT5P</t>
  </si>
  <si>
    <t>190714309206</t>
  </si>
  <si>
    <t>GET COZY PILLOW</t>
  </si>
  <si>
    <t>1123716GRN14X24</t>
  </si>
  <si>
    <t>ENVOGUE INTERNATIONAL LLC</t>
  </si>
  <si>
    <t>86569111173</t>
  </si>
  <si>
    <t>POMPANO SHOWER CURTAIN</t>
  </si>
  <si>
    <t>MCH70-982</t>
  </si>
  <si>
    <t>86569170552</t>
  </si>
  <si>
    <t>KANDULA</t>
  </si>
  <si>
    <t>MCH70-1134</t>
  </si>
  <si>
    <t>86569111197</t>
  </si>
  <si>
    <t>ORLANDO SHOWER CURTAIN</t>
  </si>
  <si>
    <t>MCH70-984</t>
  </si>
  <si>
    <t>755615146260</t>
  </si>
  <si>
    <t>MC PRESTON LINEN 84'' BASIC</t>
  </si>
  <si>
    <t>608381466868</t>
  </si>
  <si>
    <t>LUSH EMB IVY SHAM</t>
  </si>
  <si>
    <t>LUSHEMIVST</t>
  </si>
  <si>
    <t>29927459982</t>
  </si>
  <si>
    <t>BLAC CURTAIN BASIC</t>
  </si>
  <si>
    <t>21864287710</t>
  </si>
  <si>
    <t>AVANTI PREM SCRPT "J" IVBASIC</t>
  </si>
  <si>
    <t>2253-J FTIP</t>
  </si>
  <si>
    <t>732994566452</t>
  </si>
  <si>
    <t>IKAT DOT KG DUV SET BASIC</t>
  </si>
  <si>
    <t>10019490KG</t>
  </si>
  <si>
    <t>86569007650</t>
  </si>
  <si>
    <t>MP VIENNA CVSET K/CK IG</t>
  </si>
  <si>
    <t>MP13-5579</t>
  </si>
  <si>
    <t>COVERLET/SHAM: COTTON PERCALE FACE, COTTON/POLYESTER CROSS WEAVE REVERSE; DEC PILLOW: COTTON/POLYESTER CROSS WEAVE SHELL; COVERLET FILL: 90% COTTON, 5% PLYESTER,5% OTHER FIBERS; DECORATIVE PILLOW FILL: 100% POLYESTER</t>
  </si>
  <si>
    <t>22415088145</t>
  </si>
  <si>
    <t>PLTNM WTPRF MPR Q</t>
  </si>
  <si>
    <t>AMERICAN TEXTILE</t>
  </si>
  <si>
    <t>POLYESTER/MODAL</t>
  </si>
  <si>
    <t>846339072253</t>
  </si>
  <si>
    <t>CARMELLA WHT DRAPERY</t>
  </si>
  <si>
    <t>214402084PR</t>
  </si>
  <si>
    <t>732995468847</t>
  </si>
  <si>
    <t>TXT FLORL STRP KG QL</t>
  </si>
  <si>
    <t>100037776KG</t>
  </si>
  <si>
    <t>810026171239</t>
  </si>
  <si>
    <t>CC-MPMT-KG</t>
  </si>
  <si>
    <t>706256451510</t>
  </si>
  <si>
    <t>P HOUSE RECOLOR BSKG BASIC</t>
  </si>
  <si>
    <t>PRHSEKG</t>
  </si>
  <si>
    <t>COTTON FACE; POLYESTER REVERSE</t>
  </si>
  <si>
    <t>732995740394</t>
  </si>
  <si>
    <t>EMB FLOWERS FQ QLT</t>
  </si>
  <si>
    <t>100037831FQ</t>
  </si>
  <si>
    <t>FABRIC: COTTON; THREAD COUNT: 140; POLYESTER FILL 120 GRAMS PER SQUARE METER</t>
  </si>
  <si>
    <t>636189842799</t>
  </si>
  <si>
    <t>YD EARTH-TONE KG QLT</t>
  </si>
  <si>
    <t>YDEARTHKG</t>
  </si>
  <si>
    <t>732994474832</t>
  </si>
  <si>
    <t>BOTANCL CORAL KG QLT</t>
  </si>
  <si>
    <t>BOTNCLCOKG</t>
  </si>
  <si>
    <t>MEDIUN RED</t>
  </si>
  <si>
    <t>675716592332</t>
  </si>
  <si>
    <t>CLAIRE F/Q CVT SET AQUA</t>
  </si>
  <si>
    <t>MP13-1420</t>
  </si>
  <si>
    <t>COVERLET AND SHAMS FACE: MICROFIBER FROM POLYESTER; POLYESTER REVERSE; DECORATIVE PILLOWS: POLYESTER; POLYESTER FILL; COVERLET FILL: COTTON/POLYESTER/OTHER FIBERS 200 GRAMS PER SQUARE METER</t>
  </si>
  <si>
    <t>675716986315</t>
  </si>
  <si>
    <t>TETON F/Q CVS GREY</t>
  </si>
  <si>
    <t>WR13-2059</t>
  </si>
  <si>
    <t>FAUX-FUR FACE AND SOLID REVERSE:POLYESTER;POLYESTER FILL</t>
  </si>
  <si>
    <t>732994474801</t>
  </si>
  <si>
    <t>BOTANCL CORAL FQ QLT</t>
  </si>
  <si>
    <t>BOTNCLCOFQ</t>
  </si>
  <si>
    <t>675716582333</t>
  </si>
  <si>
    <t>ID OLIVIA K/CK BL CS</t>
  </si>
  <si>
    <t>ID10-239</t>
  </si>
  <si>
    <t>COMFORTER: PRINTED POLYESTER PEACH SKIN; BRUSHED POLYESTER REVERSE; FILL: POLYESTERSHAM: PRINTED POLYESTER PEACH SKIN; BRUSHED POLYESTER REVERSEDECORATIVE PILLOW: FABRIC/FILL: POLYESTER</t>
  </si>
  <si>
    <t>675716674885</t>
  </si>
  <si>
    <t>PEYTON F/Q AQ COMF SET BASIC</t>
  </si>
  <si>
    <t>BASI10-0343</t>
  </si>
  <si>
    <t>47293325366</t>
  </si>
  <si>
    <t>SOFT SUEDE BASIC</t>
  </si>
  <si>
    <t>791551044468</t>
  </si>
  <si>
    <t>MSC QLT KNT GREY FQ BASIC</t>
  </si>
  <si>
    <t>12221FQ89K</t>
  </si>
  <si>
    <t>MARTHA STEWART-EDI/BERKSHIRE</t>
  </si>
  <si>
    <t>FACE &amp; BACK: POLYESTER/COTTON. FILL: POLYESTER.</t>
  </si>
  <si>
    <t>86569092915</t>
  </si>
  <si>
    <t>LILIANA QUILT SET TW BASIC</t>
  </si>
  <si>
    <t>MCH14-798</t>
  </si>
  <si>
    <t>FACE AND BACK: POLYESTER; FILL; COTTON/OTHER FIBERS 85GSM</t>
  </si>
  <si>
    <t>726895980714</t>
  </si>
  <si>
    <t>HNYCM DEC 18X18</t>
  </si>
  <si>
    <t>32281232047</t>
  </si>
  <si>
    <t>BLACK PANTHER TWIN S BASIC</t>
  </si>
  <si>
    <t>JF23204</t>
  </si>
  <si>
    <t>636193932820</t>
  </si>
  <si>
    <t>HTL MARBLE GREY 22X36</t>
  </si>
  <si>
    <t>DARK GRAY</t>
  </si>
  <si>
    <t>36"X22"</t>
  </si>
  <si>
    <t>675716661953</t>
  </si>
  <si>
    <t>MP ANDORA WP BASIC</t>
  </si>
  <si>
    <t>MP40-1781</t>
  </si>
  <si>
    <t>732994761109</t>
  </si>
  <si>
    <t>TEXT EMB GEO 18X18</t>
  </si>
  <si>
    <t>732994477222</t>
  </si>
  <si>
    <t>TUFTD VELV BL SHAM</t>
  </si>
  <si>
    <t>VTUFTBLST</t>
  </si>
  <si>
    <t>NYLON/VISCOSE; POLYESTER FILL</t>
  </si>
  <si>
    <t>732994203395</t>
  </si>
  <si>
    <t>EMB PAINT PLAID DEC</t>
  </si>
  <si>
    <t>COTTON; DECORATION/FILL: POLYESTER</t>
  </si>
  <si>
    <t>86093577551</t>
  </si>
  <si>
    <t>CC MARN RUG 3X4 BASIC</t>
  </si>
  <si>
    <t>CHARTER CLUB-MMG</t>
  </si>
  <si>
    <t>86569091987</t>
  </si>
  <si>
    <t>DST DINO PILLOW 3IN1 BASIC</t>
  </si>
  <si>
    <t>MCH50-757</t>
  </si>
  <si>
    <t>POLYESTER; FILL: POLYESTER</t>
  </si>
  <si>
    <t>706255243635</t>
  </si>
  <si>
    <t>ETHRL DEC 18X18</t>
  </si>
  <si>
    <t>HOTEL COLLECTION-EDI/RWI/PACFUNG</t>
  </si>
  <si>
    <t>86569909879</t>
  </si>
  <si>
    <t>MAYA PANEL 50X63 GREY BASIC</t>
  </si>
  <si>
    <t>SS40-0027</t>
  </si>
  <si>
    <t>636206719752</t>
  </si>
  <si>
    <t>CC NAUTSTP SCAT 3X4 BASIC</t>
  </si>
  <si>
    <t>86093587581</t>
  </si>
  <si>
    <t>CC KAKADU BLK 3X4 BASIC</t>
  </si>
  <si>
    <t>96675641037</t>
  </si>
  <si>
    <t>GEL OVERLAY MF PILLOW BASIC</t>
  </si>
  <si>
    <t>734737535855</t>
  </si>
  <si>
    <t>SUN HEAVENLY MINT 21X34</t>
  </si>
  <si>
    <t>R4395AG1522134</t>
  </si>
  <si>
    <t>734737553057</t>
  </si>
  <si>
    <t>LACOSTE RUG PETAL PINK</t>
  </si>
  <si>
    <t>R16752R4221930</t>
  </si>
  <si>
    <t>LACOSTE/SUNHAM HOME FASHIONS</t>
  </si>
  <si>
    <t>POLYESTER/POLYURETHANE FOAM; BACKING: STYRENE BUTADIENE RUBBER</t>
  </si>
  <si>
    <t>99446425799</t>
  </si>
  <si>
    <t>FORSGATE BLUE SQUARES</t>
  </si>
  <si>
    <t>FORSFOR01LTBLU026045</t>
  </si>
  <si>
    <t>MED BLUE</t>
  </si>
  <si>
    <t>NOURISON INDUSTRIES INC</t>
  </si>
  <si>
    <t>POLYPROPYLENE/POLYESTER</t>
  </si>
  <si>
    <t>746885369121</t>
  </si>
  <si>
    <t>PRESTON GROM95"STONE BASIC</t>
  </si>
  <si>
    <t>703444K4A140</t>
  </si>
  <si>
    <t>25695974078</t>
  </si>
  <si>
    <t>LRL 2PK MARCH 2018</t>
  </si>
  <si>
    <t>97407-5679</t>
  </si>
  <si>
    <t>732994585910</t>
  </si>
  <si>
    <t>WHIM KISS PC LEO BASIC</t>
  </si>
  <si>
    <t>KISSLEO</t>
  </si>
  <si>
    <t>MARTHA STEWART-EDI/RWI/KOHINOOR</t>
  </si>
  <si>
    <t>99446454782</t>
  </si>
  <si>
    <t>TRIBAL CHIC NAVY</t>
  </si>
  <si>
    <t>TRIBTRB02NAVY027045</t>
  </si>
  <si>
    <t>80166582862</t>
  </si>
  <si>
    <t>WIPE YOUR PAWS DOORMAT</t>
  </si>
  <si>
    <t>30X18</t>
  </si>
  <si>
    <t>FABRIC: COIR; REVERSES TO VINYL</t>
  </si>
  <si>
    <t>91116716138</t>
  </si>
  <si>
    <t>GOLD SILKY SATIN TWIN</t>
  </si>
  <si>
    <t>GOLSST</t>
  </si>
  <si>
    <t>86569930415</t>
  </si>
  <si>
    <t>SERENE COTTON JAR BASIC</t>
  </si>
  <si>
    <t>MCH71-477</t>
  </si>
  <si>
    <t>80166582831</t>
  </si>
  <si>
    <t>WARMWELCOME18X30DOORMAT</t>
  </si>
  <si>
    <t>FABRIC: COIR; VINYL BACK</t>
  </si>
  <si>
    <t>80166582947</t>
  </si>
  <si>
    <t>DAISY BEE TOSS DOORMAT</t>
  </si>
  <si>
    <t>80166582800</t>
  </si>
  <si>
    <t>TISTHESEASON18X30DOORMAT</t>
  </si>
  <si>
    <t>80166582824</t>
  </si>
  <si>
    <t>GATHER DOORMAT</t>
  </si>
  <si>
    <t>58282MS</t>
  </si>
  <si>
    <t>80166582817</t>
  </si>
  <si>
    <t>MERRY18X30DOORMAT</t>
  </si>
  <si>
    <t>96675510470</t>
  </si>
  <si>
    <t>SENSORPEDIC COTTON 2PK BASIC</t>
  </si>
  <si>
    <t>86093587598</t>
  </si>
  <si>
    <t>CC KAKADU BLK 2X3 BASIC</t>
  </si>
  <si>
    <t>36X3X20</t>
  </si>
  <si>
    <t>99446300744</t>
  </si>
  <si>
    <t>NOUR BWK CHINDI 24X36 BLU</t>
  </si>
  <si>
    <t>BRUNBRU01BL024036</t>
  </si>
  <si>
    <t>99446300713</t>
  </si>
  <si>
    <t>NOUR BWK CHINDI 24X36 MOCHA</t>
  </si>
  <si>
    <t>BRUNBRU01MOC024036</t>
  </si>
  <si>
    <t>732996500577</t>
  </si>
  <si>
    <t>CC LAST ACT FIRM SQ BASIC</t>
  </si>
  <si>
    <t>100075939SQ</t>
  </si>
  <si>
    <t>99446295941</t>
  </si>
  <si>
    <t>NOUR MONTCLAIR 24X36 GOLD</t>
  </si>
  <si>
    <t>MONTMNCL1GLD024036</t>
  </si>
  <si>
    <t>COTTON, POLYESTER &amp; RAYON</t>
  </si>
  <si>
    <t>636206111167</t>
  </si>
  <si>
    <t>CC CLASSIC H BASIC</t>
  </si>
  <si>
    <t>CCLASHGAR</t>
  </si>
  <si>
    <t>633125188898</t>
  </si>
  <si>
    <t>SHOWER CURTAIN</t>
  </si>
  <si>
    <t>LAURA ASHLEY/KENNEDY INTL INC</t>
  </si>
  <si>
    <t>POLYETHYLENE/ETHYLENE VINYL ACETATE</t>
  </si>
  <si>
    <t>86569289711</t>
  </si>
  <si>
    <t>RAMSEY CS QUEEN GREY</t>
  </si>
  <si>
    <t>5DS10-0218</t>
  </si>
  <si>
    <t>34086737864</t>
  </si>
  <si>
    <t>SERTAPEDIC MED PILLOW JU</t>
  </si>
  <si>
    <t>86569963949</t>
  </si>
  <si>
    <t>Madison Park Bellagio 5-Pc. Quilted King Be Brown King</t>
  </si>
  <si>
    <t>MP13-5319</t>
  </si>
  <si>
    <t>81 SGL</t>
  </si>
  <si>
    <t>FABRIC: POLYESTER; BEDSPREAD FILL: COTTON/POLYESTER/OTHER FIBERS; DECORATIVE PILLOW FILL: POLYESTER</t>
  </si>
  <si>
    <t>675716515584</t>
  </si>
  <si>
    <t>Madison Park Carter 7-Pc. King Comforter Se BlueGreen King</t>
  </si>
  <si>
    <t>MP10-847</t>
  </si>
  <si>
    <t>COMFORTER: POLYESTER; FILL: POLYESTERSHAM: POLYESTERBED SKIRT: POLYESTER PILLOW: POLYESTER COVER; FILL: POLYESTER</t>
  </si>
  <si>
    <t>706256059082</t>
  </si>
  <si>
    <t>Hotel Collection Hotel Collection Waffle Bath R Seamist ML</t>
  </si>
  <si>
    <t>HTLWAFRSEA</t>
  </si>
  <si>
    <t>732994215770</t>
  </si>
  <si>
    <t>Charter Club Damask Designs Tile Geo 300-Th Horizon King</t>
  </si>
  <si>
    <t>100023137KG</t>
  </si>
  <si>
    <t>COMFORTER AND SHAMS: COTTON; COMFORTER FILL: POLYESTER</t>
  </si>
  <si>
    <t>726895831269</t>
  </si>
  <si>
    <t>Charter Club Damask Designs Painted Plaid 3 Blue King</t>
  </si>
  <si>
    <t>100019833KG</t>
  </si>
  <si>
    <t>FABRIC: COTTON THREAD COUNT: 300; COMFORTER FILL: POLYESTER</t>
  </si>
  <si>
    <t>64247003187</t>
  </si>
  <si>
    <t>Exclusive Home Nicole Miller Iceland Metallic Off White 54x96</t>
  </si>
  <si>
    <t>EN701454X96</t>
  </si>
  <si>
    <t>EXCLUSIVE HOME/AMALGAMATED TEXTILES</t>
  </si>
  <si>
    <t>732998868255</t>
  </si>
  <si>
    <t>Charter Club Damask Designs New Geo Cotton Cornflower Queen</t>
  </si>
  <si>
    <t>100083233QN</t>
  </si>
  <si>
    <t>CHARTER CLUB-EDI/RWI/LAMEIRINHO</t>
  </si>
  <si>
    <t>86569004819</t>
  </si>
  <si>
    <t>510 Design 510 Design Ramsey Queen Embroi Neutral Queen</t>
  </si>
  <si>
    <t>5DS10-0047</t>
  </si>
  <si>
    <t>COMFORTER/SHAM/BEDSKIRT DROP/DECORATIVE PILLOW/EURO SHAM - 85GSM POLYESTER MICROFIBER, BEDSKIRT PLATFORM - POLYPROPYLENE NON-WOVEN FABRIC, COMFORTER/DECORATIVE PILLOW FILL - 100% POLYESTER</t>
  </si>
  <si>
    <t>846225030343</t>
  </si>
  <si>
    <t>Manor Luxe Manor Luxe La Rosa Metallic Se Dark Gray 52x84</t>
  </si>
  <si>
    <t>ML182085284DGRAY</t>
  </si>
  <si>
    <t>83/84DOORP</t>
  </si>
  <si>
    <t>INTREPID INTL TRADING CO LLC</t>
  </si>
  <si>
    <t>Sleep Philosophy Peyton Reversible 3-Pc. FullQ Aqua FullQueen</t>
  </si>
  <si>
    <t>734737573055</t>
  </si>
  <si>
    <t>Silken Slumber Silk Solid Standard Pillowcase Gold Standard</t>
  </si>
  <si>
    <t>732998305415</t>
  </si>
  <si>
    <t>Charter Club Damask Designs Blossom Cotton Coral FullQueen</t>
  </si>
  <si>
    <t>100079944FQ</t>
  </si>
  <si>
    <t>FABRIC: 100% COTTON; THREAD COUNT: 300</t>
  </si>
  <si>
    <t>191790023444</t>
  </si>
  <si>
    <t>Fairfield Square Collection Fairfield Square Sydney 825-Th Light Blue Queen</t>
  </si>
  <si>
    <t>23202103006AQT</t>
  </si>
  <si>
    <t>AQ TEXTILES</t>
  </si>
  <si>
    <t>709271441320</t>
  </si>
  <si>
    <t>Calvin Klein Modern Cotton Harrison Queen F Black Queen</t>
  </si>
  <si>
    <t>1210113-QN-B1-D3</t>
  </si>
  <si>
    <t>QUEEN FLAT</t>
  </si>
  <si>
    <t>679610813371</t>
  </si>
  <si>
    <t>Hallmart Collectibles Ada 12-Pc. Comforter Sets Fuchsia Queen</t>
  </si>
  <si>
    <t>734737635791</t>
  </si>
  <si>
    <t>Fairfield Square Collection P RICO multi qn cs Indigo Queen</t>
  </si>
  <si>
    <t>734737422957</t>
  </si>
  <si>
    <t>Fairfield Square Collection Austin 8-Pc. Reversible Comfor Red Queen</t>
  </si>
  <si>
    <t>15977229V</t>
  </si>
  <si>
    <t>734737635555</t>
  </si>
  <si>
    <t>Fairfield Square Collection Angelica Queen Comforter Set Red Multi Queen</t>
  </si>
  <si>
    <t>REDOVERFLW</t>
  </si>
  <si>
    <t>675716657123</t>
  </si>
  <si>
    <t>Premier Comfort Premier Comfort Velvet Sherpa Grey Twin</t>
  </si>
  <si>
    <t>MCH10332</t>
  </si>
  <si>
    <t>RTCOMFORTE</t>
  </si>
  <si>
    <t>FRONT, BACK &amp; FILL: POLYESTER</t>
  </si>
  <si>
    <t>679610813357</t>
  </si>
  <si>
    <t>Hallmart Collectibles Ada 12-Pc. Comforter Sets Fuchsia Twin</t>
  </si>
  <si>
    <t>732997393956</t>
  </si>
  <si>
    <t>Hotel Collection Primaloft 450-Thread Count Med White Standard</t>
  </si>
  <si>
    <t>100083175QN</t>
  </si>
  <si>
    <t>OUTER COVER: COTTON; INNER SHELL: COTTON; FILL: POLYESTER FIBERFILL</t>
  </si>
  <si>
    <t>732996541129</t>
  </si>
  <si>
    <t>Hotel Collection Connections Cotton 30 x 56 B Light Vapor Bath Towels</t>
  </si>
  <si>
    <t>LT/PAS GRN</t>
  </si>
  <si>
    <t>783048125026</t>
  </si>
  <si>
    <t>Pem America Tina Purple FullQueen 3PC Com Purple FullQueen</t>
  </si>
  <si>
    <t>CS3553FQ-1540</t>
  </si>
  <si>
    <t>734737589841</t>
  </si>
  <si>
    <t>Sunham Heavenly Touch 21x 34 Tufte Gray 21 x 34</t>
  </si>
  <si>
    <t>R4395AN1252134</t>
  </si>
  <si>
    <t>732996614779</t>
  </si>
  <si>
    <t>Charter Club Mosaic Geo 19 x 34 Bath Rug Indigo No Size</t>
  </si>
  <si>
    <t>CHARTER CLUB-MMG/WELSPUN USA</t>
  </si>
  <si>
    <t>FABRIC: POLYESTER; LATEX BACK</t>
  </si>
  <si>
    <t>732996614724</t>
  </si>
  <si>
    <t>Charter Club Paisley 19 x 34 Bath Rug Graphite No Size</t>
  </si>
  <si>
    <t>732996541150</t>
  </si>
  <si>
    <t>Hotel Collection Connections Cotton 20 x 30 H Sandstone Hand Towels</t>
  </si>
  <si>
    <t>732996541167</t>
  </si>
  <si>
    <t>Hotel Collection Connections Cotton 20 x 30 H Light Vapor Hand Towels</t>
  </si>
  <si>
    <t>25695992911</t>
  </si>
  <si>
    <t>Calvin Klein Monogram Logo Extra Firm Suppo White</t>
  </si>
  <si>
    <t>99291-5679</t>
  </si>
  <si>
    <t>CALVIN KLEIN/HOLLANDER SLEEP PROD</t>
  </si>
  <si>
    <t>COTTON COVER; POLYESTER FIBER FILL</t>
  </si>
  <si>
    <t>732996541198</t>
  </si>
  <si>
    <t>Hotel Collection Connections Cotton 13 x 13 W Sandstone Washcloths</t>
  </si>
  <si>
    <t>734737534940</t>
  </si>
  <si>
    <t>Sunham Soft Spun Cotton Bath Towel Light Tan Bath Towels</t>
  </si>
  <si>
    <t>T18437N5282752</t>
  </si>
  <si>
    <t>RUSTCOPPER</t>
  </si>
  <si>
    <t>42075593124</t>
  </si>
  <si>
    <t>Michael Aram Enchanted Queen Sheet Set Charcoal Queen</t>
  </si>
  <si>
    <t>2-0153S3CK</t>
  </si>
  <si>
    <t>QNJUMBOFIT</t>
  </si>
  <si>
    <t>MICHAEL ARAM/CHF INDUSTRIES INC</t>
  </si>
  <si>
    <t>612621210319</t>
  </si>
  <si>
    <t>BELLA 26X26 EURO SHA</t>
  </si>
  <si>
    <t>BEL-3E PEW</t>
  </si>
  <si>
    <t>PEACOCK ALLEY</t>
  </si>
  <si>
    <t>612621210326</t>
  </si>
  <si>
    <t>BELLA 20X36 KING SHA</t>
  </si>
  <si>
    <t>BEL-3K PEW</t>
  </si>
  <si>
    <t>KGFLANGED</t>
  </si>
  <si>
    <t>400013532725</t>
  </si>
  <si>
    <t>CRC GENERIC</t>
  </si>
  <si>
    <t>UPC DEFAULT</t>
  </si>
  <si>
    <t>NON-MRCHNDSE USE ONLY</t>
  </si>
  <si>
    <t>191790041042</t>
  </si>
  <si>
    <t>AQ Textiles Camden Sateen 1250-Thread Coun White King</t>
  </si>
  <si>
    <t>25542104001AQT</t>
  </si>
  <si>
    <t>884402817738</t>
  </si>
  <si>
    <t>SOLID THROW</t>
  </si>
  <si>
    <t>GHM0122</t>
  </si>
  <si>
    <t>OSFA</t>
  </si>
  <si>
    <t>DEC PIL/THRWS</t>
  </si>
  <si>
    <t>REPUBLIC CLOTHING</t>
  </si>
  <si>
    <t>91116680293</t>
  </si>
  <si>
    <t>MICRO SLD FU ASST BRIGHTBASIC</t>
  </si>
  <si>
    <t>MSDSSF</t>
  </si>
  <si>
    <t>732999785254</t>
  </si>
  <si>
    <t>Hotel Collection Ultimate MicroCotton Symmetry Jade Bath Towels</t>
  </si>
  <si>
    <t>32281252137</t>
  </si>
  <si>
    <t>Disney Disney 2 Pack Squishy Pillows Disney Princess</t>
  </si>
  <si>
    <t>JF25213</t>
  </si>
  <si>
    <t>83013313817</t>
  </si>
  <si>
    <t>Croscill Croscill Roena 4 Piece Queen C Burgundy Queen</t>
  </si>
  <si>
    <t>2A0-003C0-7030</t>
  </si>
  <si>
    <t>EX-CELL HOME FASHIONS INC</t>
  </si>
  <si>
    <t>885308361974</t>
  </si>
  <si>
    <t>Savannah Home Garden Glory Comforter Set Mist Queen</t>
  </si>
  <si>
    <t>14911BEDDQUEMST</t>
  </si>
  <si>
    <t>WAVERLY/KEECO LLC</t>
  </si>
  <si>
    <t>851320006957</t>
  </si>
  <si>
    <t>The Pillow Bar The Pillow Bar Down Alternativ CLASSIC WHITE No Size</t>
  </si>
  <si>
    <t>DADRMSS-P</t>
  </si>
  <si>
    <t>PILLOW BAR (THE)</t>
  </si>
  <si>
    <t>PROTECTOR - COTTON SATEEN, FILL - POLYESTER</t>
  </si>
  <si>
    <t>86569003300</t>
  </si>
  <si>
    <t>Urban Habitat Brooklyn Cotton 7-Pc. KingCal Blue KingCalifornia King</t>
  </si>
  <si>
    <t>UH10-2155</t>
  </si>
  <si>
    <t>COMFORTER/SHAM: COTTON JACQUARD FACE THREAD COUNT: 140; COTTON REVERSE THREAD COUNT: 144DECORATIVE PILLOW: COTTON PERCALE THREAD COUNT: 144 EUROPEAN SHAM: COTTON WITH QUILTING TOP THREAD COUNT: 144 COMFORTER/PILLOW FILL: POLYESTER</t>
  </si>
  <si>
    <t>675716999315</t>
  </si>
  <si>
    <t>Urban Habitat Urban Habitat Caden 3-Pc King Grey KingCalifornia King</t>
  </si>
  <si>
    <t>UH13-2099</t>
  </si>
  <si>
    <t>675716361594</t>
  </si>
  <si>
    <t>Madison Park Palisades 7-Pc. Queen Comforte Coral Queen</t>
  </si>
  <si>
    <t>MP10-184</t>
  </si>
  <si>
    <t>COMFORTER/SHAM: POLYESTER; REVERSES TO BRUSHED POLYESTER COMFORTER FILL: POLYESTERBED SKIRT: POLYESTER PILLOWS: POLYESTER COVER; FILL: POLYESTER</t>
  </si>
  <si>
    <t>636047404718</t>
  </si>
  <si>
    <t>Greenland Home Fashions Greenland Home Fashions Marley Red FullQueen</t>
  </si>
  <si>
    <t>GL-1902AMSQ</t>
  </si>
  <si>
    <t>GREENLAND HOME FASHIONS INC</t>
  </si>
  <si>
    <t>COTTON, POLYESTER</t>
  </si>
  <si>
    <t>675716809577</t>
  </si>
  <si>
    <t>Madison Park Madison Park Harper Velvet 3-P Ivory FullQueen</t>
  </si>
  <si>
    <t>MP13-3301</t>
  </si>
  <si>
    <t>FABRIC: POLYESTER; COVERLET FILL: COTTON/POLYESTER/OTHER 85 GSM</t>
  </si>
  <si>
    <t>886087293890</t>
  </si>
  <si>
    <t>Lauren Ralph Lauren Devon Lace Applique 18 Squar Cream</t>
  </si>
  <si>
    <t>LAUREN BEDDNG</t>
  </si>
  <si>
    <t>LAUREN BY RL/RALPH LAUREN HOME COLL</t>
  </si>
  <si>
    <t>886087290776</t>
  </si>
  <si>
    <t>Lauren Ralph Lauren Kelsey Pintucked 18 Square De Off White</t>
  </si>
  <si>
    <t>706258050742</t>
  </si>
  <si>
    <t>Charter Club Damask Stripe Pima Cotton 550- Poppy Dark Coral King</t>
  </si>
  <si>
    <t>DLLSTKGCPOP</t>
  </si>
  <si>
    <t>MEDIUM RED</t>
  </si>
  <si>
    <t>ALL COTTON</t>
  </si>
  <si>
    <t>86569066480</t>
  </si>
  <si>
    <t>Madison Park Emory 6-Pc. FullQueen Duvet S Grey FullQueen</t>
  </si>
  <si>
    <t>MP12-5532</t>
  </si>
  <si>
    <t>DUVET COVER/SHAM: COTTON, REVERSES TO COTTON/POLYESTER; THREAD COUNT: 200, REVERSES TO 132; PILLOW: COTTON/POLYESTER; POLYESTER FILL</t>
  </si>
  <si>
    <t>675716863678</t>
  </si>
  <si>
    <t>Madison Park Vienna 6-Pc. FullQueen Duvet Indigo FullQueen</t>
  </si>
  <si>
    <t>MP12-3832</t>
  </si>
  <si>
    <t>DUVET/SHAM: COTTON; THREAD COUNT: 200, REVERSES TO 180; PILLOW: COTTON; THREAD COUNT: 180; PILLOW FILL: POLYESTER</t>
  </si>
  <si>
    <t>86569992000</t>
  </si>
  <si>
    <t>Madison Park Madison Park Noel 3-Pc FullQu White FullQueen</t>
  </si>
  <si>
    <t>MP13-5503</t>
  </si>
  <si>
    <t>MICROFIBER FROM 100% POLYESTER; COVERLET FILL: 90% COTTON, 5% PLYESTER,5% OTHER FIBERS</t>
  </si>
  <si>
    <t>86569105400</t>
  </si>
  <si>
    <t>JLA Home 251 Grey Queen</t>
  </si>
  <si>
    <t>5DS10-0180</t>
  </si>
  <si>
    <t>Intelligent Design Cassy 5-Pc. FullQueen Coverle Blue FullQueen</t>
  </si>
  <si>
    <t>675716643645</t>
  </si>
  <si>
    <t>Intelligent Design Senna 4-Pc. TwinTwin XL Cover Aqua TwinTwin XL</t>
  </si>
  <si>
    <t>ID80-464</t>
  </si>
  <si>
    <t>COVERLET/SHAM/PILLOW COVER: POLYESTER; PILLOW FILL: POLYESTER; COVERLET FILL: COTTON/POLYESTER/OTHER 200 GRAMS PER SQUARE METER</t>
  </si>
  <si>
    <t>877512006161</t>
  </si>
  <si>
    <t>Cathay Home Inc. Ultimate Luxury Reversible Mic Pewter Full</t>
  </si>
  <si>
    <t>108267-PEW-F</t>
  </si>
  <si>
    <t>CATHAY HOME INC</t>
  </si>
  <si>
    <t>FAUX SHERPA</t>
  </si>
  <si>
    <t>Intelligent Design Paul 4-Pc. TwinTwin XL Comfor Blue TwinTwin XL</t>
  </si>
  <si>
    <t>675716592097</t>
  </si>
  <si>
    <t>Mi Zone Kyle 4-Pc. FullQueen Comforte Multi FullQueen</t>
  </si>
  <si>
    <t>MZ10-300</t>
  </si>
  <si>
    <t>COMFORTER/SHAM/PILLOW COVER: POLYESTER; COMFORTER/SHAM FILL: POLYESTER 200 GRAMS PER SQUARE METER; PILLOW FILL: POLYESTER</t>
  </si>
  <si>
    <t>675716965204</t>
  </si>
  <si>
    <t>Intelligent Design Loretta 7-Pc. Twin Comforter S Coral Twin</t>
  </si>
  <si>
    <t>ID10-1216</t>
  </si>
  <si>
    <t>COMFORTER/SHAM/SHEET SET/DECORATIVE PILLOW/BEDSKIRT: POLYESTER; COMFORTER FILL: POLYESTER 5 OUNCES PER SQUARE YARD; DECORATIVE PILLOW FILL: POLYESTER</t>
  </si>
  <si>
    <t>86569295347</t>
  </si>
  <si>
    <t>Intelligent Design Raina Metallic-Print 50 x 84 White 50x84</t>
  </si>
  <si>
    <t>ID40-1808</t>
  </si>
  <si>
    <t>885308392190</t>
  </si>
  <si>
    <t>Eclipse Correll Back Tab Panel Ivory 52x84</t>
  </si>
  <si>
    <t>15298052084IVY</t>
  </si>
  <si>
    <t>783048031426</t>
  </si>
  <si>
    <t>Truly Soft Truly Soft Everyday Buffalo Pl Khaki And White TwinTwin XL</t>
  </si>
  <si>
    <t>CS2093KHTX-1500</t>
  </si>
  <si>
    <t>847636038577</t>
  </si>
  <si>
    <t>Mytex Chase Stripe 2-Piece Reversibl Powder Blue Twin</t>
  </si>
  <si>
    <t>CHSSTPBLUT</t>
  </si>
  <si>
    <t>MYTEX LLC</t>
  </si>
  <si>
    <t>26865577853</t>
  </si>
  <si>
    <t>Elrene Window Treatments, Versailles Rouge 52x108</t>
  </si>
  <si>
    <t>LT/PAS RED</t>
  </si>
  <si>
    <t>190945066701</t>
  </si>
  <si>
    <t>Levtex Yuletide Carte Postal Decorati Red 18x14</t>
  </si>
  <si>
    <t>L13750LP-A</t>
  </si>
  <si>
    <t>LEVTEX BABY/LEVTEX LLC</t>
  </si>
  <si>
    <t>689439135486</t>
  </si>
  <si>
    <t>Hotel Collection Lateral 180-Thread Count 20 S Natural 20x20</t>
  </si>
  <si>
    <t>COTTON; FILL: POLYESTER; DECORATION: POLYESTER</t>
  </si>
  <si>
    <t>86569909824</t>
  </si>
  <si>
    <t>SunSmart Julie 50 x 84 Textured Botan Yellow 50x84</t>
  </si>
  <si>
    <t>SS40-0022</t>
  </si>
  <si>
    <t>YELLOW</t>
  </si>
  <si>
    <t>675716839659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</si>
</sst>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" applyNumberFormat="0" applyAlignment="0" applyProtection="0"/>
    <xf numFmtId="0" fontId="9" fillId="28" borderId="2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" applyNumberFormat="0" applyAlignment="0" applyProtection="0"/>
    <xf numFmtId="0" fontId="16" fillId="0" borderId="6" applyNumberFormat="0" applyFill="0" applyAlignment="0" applyProtection="0"/>
    <xf numFmtId="0" fontId="17" fillId="31" borderId="0" applyNumberFormat="0" applyBorder="0" applyAlignment="0" applyProtection="0"/>
    <xf numFmtId="0" fontId="1" fillId="32" borderId="7" applyNumberFormat="0" applyFont="0" applyAlignment="0" applyProtection="0"/>
    <xf numFmtId="0" fontId="18" fillId="2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/>
  </sheetViews>
  <sheetFormatPr defaultRowHeight="30" customHeight="1" x14ac:dyDescent="0.25"/>
  <cols>
    <col min="1" max="1" width="14.28515625" customWidth="1"/>
    <col min="2" max="2" width="22.85546875" customWidth="1"/>
    <col min="3" max="4" width="15" customWidth="1"/>
    <col min="5" max="5" width="17.140625" customWidth="1"/>
    <col min="6" max="6" width="11.42578125" customWidth="1"/>
    <col min="7" max="7" width="9.71093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2356</v>
      </c>
      <c r="B2" s="2" t="s">
        <v>2357</v>
      </c>
      <c r="C2" s="3">
        <v>1</v>
      </c>
      <c r="D2" s="6">
        <v>300.99</v>
      </c>
      <c r="E2" s="3">
        <v>79654</v>
      </c>
      <c r="F2" s="2" t="s">
        <v>2358</v>
      </c>
      <c r="G2" s="7"/>
      <c r="H2" s="2" t="s">
        <v>2359</v>
      </c>
      <c r="I2" s="2" t="s">
        <v>2360</v>
      </c>
      <c r="J2" s="2" t="s">
        <v>2361</v>
      </c>
      <c r="K2" s="2" t="s">
        <v>2362</v>
      </c>
      <c r="L2" s="8" t="str">
        <f>HYPERLINK("http://slimages.macys.com/is/image/MCY/11686272 ")</f>
        <v xml:space="preserve">http://slimages.macys.com/is/image/MCY/11686272 </v>
      </c>
    </row>
    <row r="3" spans="1:12" ht="30" customHeight="1" x14ac:dyDescent="0.25">
      <c r="A3" s="5" t="s">
        <v>2363</v>
      </c>
      <c r="B3" s="2" t="s">
        <v>2364</v>
      </c>
      <c r="C3" s="3">
        <v>1</v>
      </c>
      <c r="D3" s="6">
        <v>139.99</v>
      </c>
      <c r="E3" s="3" t="s">
        <v>2365</v>
      </c>
      <c r="F3" s="2" t="s">
        <v>2366</v>
      </c>
      <c r="G3" s="7" t="s">
        <v>2367</v>
      </c>
      <c r="H3" s="2" t="s">
        <v>2368</v>
      </c>
      <c r="I3" s="2" t="s">
        <v>2369</v>
      </c>
      <c r="J3" s="2" t="s">
        <v>2361</v>
      </c>
      <c r="K3" s="2" t="s">
        <v>2370</v>
      </c>
      <c r="L3" s="8" t="str">
        <f>HYPERLINK("http://slimages.macys.com/is/image/MCY/3913940 ")</f>
        <v xml:space="preserve">http://slimages.macys.com/is/image/MCY/3913940 </v>
      </c>
    </row>
    <row r="4" spans="1:12" ht="30" customHeight="1" x14ac:dyDescent="0.25">
      <c r="A4" s="5" t="s">
        <v>2371</v>
      </c>
      <c r="B4" s="2" t="s">
        <v>2372</v>
      </c>
      <c r="C4" s="3">
        <v>1</v>
      </c>
      <c r="D4" s="6">
        <v>149.99</v>
      </c>
      <c r="E4" s="3" t="s">
        <v>2373</v>
      </c>
      <c r="F4" s="2" t="s">
        <v>2374</v>
      </c>
      <c r="G4" s="7"/>
      <c r="H4" s="2" t="s">
        <v>2375</v>
      </c>
      <c r="I4" s="2" t="s">
        <v>2376</v>
      </c>
      <c r="J4" s="2" t="s">
        <v>2361</v>
      </c>
      <c r="K4" s="2" t="s">
        <v>2377</v>
      </c>
      <c r="L4" s="8" t="str">
        <f>HYPERLINK("http://slimages.macys.com/is/image/MCY/9312571 ")</f>
        <v xml:space="preserve">http://slimages.macys.com/is/image/MCY/9312571 </v>
      </c>
    </row>
    <row r="5" spans="1:12" ht="30" customHeight="1" x14ac:dyDescent="0.25">
      <c r="A5" s="5" t="s">
        <v>2378</v>
      </c>
      <c r="B5" s="2" t="s">
        <v>2379</v>
      </c>
      <c r="C5" s="3">
        <v>1</v>
      </c>
      <c r="D5" s="6">
        <v>113.99</v>
      </c>
      <c r="E5" s="3" t="s">
        <v>2380</v>
      </c>
      <c r="F5" s="2" t="s">
        <v>2381</v>
      </c>
      <c r="G5" s="7" t="s">
        <v>2382</v>
      </c>
      <c r="H5" s="2" t="s">
        <v>2359</v>
      </c>
      <c r="I5" s="2" t="s">
        <v>2383</v>
      </c>
      <c r="J5" s="2" t="s">
        <v>2361</v>
      </c>
      <c r="K5" s="2" t="s">
        <v>2384</v>
      </c>
      <c r="L5" s="8" t="str">
        <f>HYPERLINK("http://slimages.macys.com/is/image/MCY/11181305 ")</f>
        <v xml:space="preserve">http://slimages.macys.com/is/image/MCY/11181305 </v>
      </c>
    </row>
    <row r="6" spans="1:12" ht="30" customHeight="1" x14ac:dyDescent="0.25">
      <c r="A6" s="5" t="s">
        <v>2385</v>
      </c>
      <c r="B6" s="2" t="s">
        <v>2386</v>
      </c>
      <c r="C6" s="3">
        <v>1</v>
      </c>
      <c r="D6" s="6">
        <v>99.99</v>
      </c>
      <c r="E6" s="3" t="s">
        <v>2387</v>
      </c>
      <c r="F6" s="2" t="s">
        <v>2374</v>
      </c>
      <c r="G6" s="7"/>
      <c r="H6" s="2" t="s">
        <v>2388</v>
      </c>
      <c r="I6" s="2" t="s">
        <v>2389</v>
      </c>
      <c r="J6" s="2" t="s">
        <v>2361</v>
      </c>
      <c r="K6" s="2" t="s">
        <v>2390</v>
      </c>
      <c r="L6" s="8" t="str">
        <f>HYPERLINK("http://slimages.macys.com/is/image/MCY/8759920 ")</f>
        <v xml:space="preserve">http://slimages.macys.com/is/image/MCY/8759920 </v>
      </c>
    </row>
    <row r="7" spans="1:12" ht="30" customHeight="1" x14ac:dyDescent="0.25">
      <c r="A7" s="5" t="s">
        <v>2391</v>
      </c>
      <c r="B7" s="2" t="s">
        <v>2392</v>
      </c>
      <c r="C7" s="3">
        <v>1</v>
      </c>
      <c r="D7" s="6">
        <v>129.99</v>
      </c>
      <c r="E7" s="3" t="s">
        <v>2393</v>
      </c>
      <c r="F7" s="2" t="s">
        <v>2394</v>
      </c>
      <c r="G7" s="7"/>
      <c r="H7" s="2" t="s">
        <v>2395</v>
      </c>
      <c r="I7" s="2" t="s">
        <v>2396</v>
      </c>
      <c r="J7" s="2" t="s">
        <v>2361</v>
      </c>
      <c r="K7" s="2" t="s">
        <v>2397</v>
      </c>
      <c r="L7" s="8" t="str">
        <f>HYPERLINK("http://slimages.macys.com/is/image/MCY/9997433 ")</f>
        <v xml:space="preserve">http://slimages.macys.com/is/image/MCY/9997433 </v>
      </c>
    </row>
    <row r="8" spans="1:12" ht="30" customHeight="1" x14ac:dyDescent="0.25">
      <c r="A8" s="5" t="s">
        <v>2398</v>
      </c>
      <c r="B8" s="2" t="s">
        <v>2399</v>
      </c>
      <c r="C8" s="3">
        <v>1</v>
      </c>
      <c r="D8" s="6">
        <v>119.99</v>
      </c>
      <c r="E8" s="3" t="s">
        <v>2400</v>
      </c>
      <c r="F8" s="2" t="s">
        <v>2401</v>
      </c>
      <c r="G8" s="7"/>
      <c r="H8" s="2" t="s">
        <v>2368</v>
      </c>
      <c r="I8" s="2" t="s">
        <v>2369</v>
      </c>
      <c r="J8" s="2" t="s">
        <v>2361</v>
      </c>
      <c r="K8" s="2" t="s">
        <v>2402</v>
      </c>
      <c r="L8" s="8" t="str">
        <f>HYPERLINK("http://slimages.macys.com/is/image/MCY/9274631 ")</f>
        <v xml:space="preserve">http://slimages.macys.com/is/image/MCY/9274631 </v>
      </c>
    </row>
    <row r="9" spans="1:12" ht="30" customHeight="1" x14ac:dyDescent="0.25">
      <c r="A9" s="5" t="s">
        <v>2403</v>
      </c>
      <c r="B9" s="2" t="s">
        <v>2404</v>
      </c>
      <c r="C9" s="3">
        <v>1</v>
      </c>
      <c r="D9" s="6">
        <v>96.99</v>
      </c>
      <c r="E9" s="3" t="s">
        <v>2405</v>
      </c>
      <c r="F9" s="2" t="s">
        <v>2381</v>
      </c>
      <c r="G9" s="7"/>
      <c r="H9" s="2" t="s">
        <v>2359</v>
      </c>
      <c r="I9" s="2" t="s">
        <v>2406</v>
      </c>
      <c r="J9" s="2" t="s">
        <v>2361</v>
      </c>
      <c r="K9" s="2" t="s">
        <v>2407</v>
      </c>
      <c r="L9" s="8" t="str">
        <f>HYPERLINK("http://slimages.macys.com/is/image/MCY/14431753 ")</f>
        <v xml:space="preserve">http://slimages.macys.com/is/image/MCY/14431753 </v>
      </c>
    </row>
    <row r="10" spans="1:12" ht="30" customHeight="1" x14ac:dyDescent="0.25">
      <c r="A10" s="5" t="s">
        <v>2408</v>
      </c>
      <c r="B10" s="2" t="s">
        <v>2409</v>
      </c>
      <c r="C10" s="3">
        <v>1</v>
      </c>
      <c r="D10" s="6">
        <v>89.99</v>
      </c>
      <c r="E10" s="3" t="s">
        <v>2410</v>
      </c>
      <c r="F10" s="2" t="s">
        <v>2374</v>
      </c>
      <c r="G10" s="7" t="s">
        <v>2411</v>
      </c>
      <c r="H10" s="2" t="s">
        <v>2412</v>
      </c>
      <c r="I10" s="2" t="s">
        <v>2413</v>
      </c>
      <c r="J10" s="2" t="s">
        <v>2361</v>
      </c>
      <c r="K10" s="2" t="s">
        <v>2414</v>
      </c>
      <c r="L10" s="8" t="str">
        <f>HYPERLINK("http://slimages.macys.com/is/image/MCY/10198579 ")</f>
        <v xml:space="preserve">http://slimages.macys.com/is/image/MCY/10198579 </v>
      </c>
    </row>
    <row r="11" spans="1:12" ht="30" customHeight="1" x14ac:dyDescent="0.25">
      <c r="A11" s="5" t="s">
        <v>2415</v>
      </c>
      <c r="B11" s="2" t="s">
        <v>2416</v>
      </c>
      <c r="C11" s="3">
        <v>1</v>
      </c>
      <c r="D11" s="6">
        <v>49.99</v>
      </c>
      <c r="E11" s="3" t="s">
        <v>2417</v>
      </c>
      <c r="F11" s="2" t="s">
        <v>2418</v>
      </c>
      <c r="G11" s="7"/>
      <c r="H11" s="2" t="s">
        <v>2419</v>
      </c>
      <c r="I11" s="2" t="s">
        <v>2420</v>
      </c>
      <c r="J11" s="2" t="s">
        <v>2361</v>
      </c>
      <c r="K11" s="2" t="s">
        <v>2377</v>
      </c>
      <c r="L11" s="8" t="str">
        <f>HYPERLINK("http://slimages.macys.com/is/image/MCY/8800107 ")</f>
        <v xml:space="preserve">http://slimages.macys.com/is/image/MCY/8800107 </v>
      </c>
    </row>
    <row r="12" spans="1:12" ht="30" customHeight="1" x14ac:dyDescent="0.25">
      <c r="A12" s="5" t="s">
        <v>2421</v>
      </c>
      <c r="B12" s="2" t="s">
        <v>2422</v>
      </c>
      <c r="C12" s="3">
        <v>1</v>
      </c>
      <c r="D12" s="6">
        <v>79.989999999999995</v>
      </c>
      <c r="E12" s="3" t="s">
        <v>2423</v>
      </c>
      <c r="F12" s="2" t="s">
        <v>2424</v>
      </c>
      <c r="G12" s="7"/>
      <c r="H12" s="2" t="s">
        <v>2388</v>
      </c>
      <c r="I12" s="2" t="s">
        <v>2425</v>
      </c>
      <c r="J12" s="2" t="s">
        <v>2361</v>
      </c>
      <c r="K12" s="2" t="s">
        <v>2426</v>
      </c>
      <c r="L12" s="8" t="str">
        <f>HYPERLINK("http://slimages.macys.com/is/image/MCY/8069444 ")</f>
        <v xml:space="preserve">http://slimages.macys.com/is/image/MCY/8069444 </v>
      </c>
    </row>
    <row r="13" spans="1:12" ht="30" customHeight="1" x14ac:dyDescent="0.25">
      <c r="A13" s="5" t="s">
        <v>2427</v>
      </c>
      <c r="B13" s="2" t="s">
        <v>2428</v>
      </c>
      <c r="C13" s="3">
        <v>1</v>
      </c>
      <c r="D13" s="6">
        <v>99.99</v>
      </c>
      <c r="E13" s="3" t="s">
        <v>2429</v>
      </c>
      <c r="F13" s="2" t="s">
        <v>2374</v>
      </c>
      <c r="G13" s="7" t="s">
        <v>2367</v>
      </c>
      <c r="H13" s="2" t="s">
        <v>2430</v>
      </c>
      <c r="I13" s="2" t="s">
        <v>2431</v>
      </c>
      <c r="J13" s="2" t="s">
        <v>2432</v>
      </c>
      <c r="K13" s="2" t="s">
        <v>2377</v>
      </c>
      <c r="L13" s="8" t="str">
        <f>HYPERLINK("http://slimages.macys.com/is/image/MCY/9271321 ")</f>
        <v xml:space="preserve">http://slimages.macys.com/is/image/MCY/9271321 </v>
      </c>
    </row>
    <row r="14" spans="1:12" ht="30" customHeight="1" x14ac:dyDescent="0.25">
      <c r="A14" s="5" t="s">
        <v>2433</v>
      </c>
      <c r="B14" s="2" t="s">
        <v>2434</v>
      </c>
      <c r="C14" s="3">
        <v>1</v>
      </c>
      <c r="D14" s="6">
        <v>79.989999999999995</v>
      </c>
      <c r="E14" s="3" t="s">
        <v>2435</v>
      </c>
      <c r="F14" s="2" t="s">
        <v>2401</v>
      </c>
      <c r="G14" s="7"/>
      <c r="H14" s="2" t="s">
        <v>2359</v>
      </c>
      <c r="I14" s="2" t="s">
        <v>2406</v>
      </c>
      <c r="J14" s="2" t="s">
        <v>2361</v>
      </c>
      <c r="K14" s="2" t="s">
        <v>2436</v>
      </c>
      <c r="L14" s="8" t="str">
        <f>HYPERLINK("http://slimages.macys.com/is/image/MCY/9484911 ")</f>
        <v xml:space="preserve">http://slimages.macys.com/is/image/MCY/9484911 </v>
      </c>
    </row>
    <row r="15" spans="1:12" ht="30" customHeight="1" x14ac:dyDescent="0.25">
      <c r="A15" s="5" t="s">
        <v>2437</v>
      </c>
      <c r="B15" s="2" t="s">
        <v>2438</v>
      </c>
      <c r="C15" s="3">
        <v>1</v>
      </c>
      <c r="D15" s="6">
        <v>84.99</v>
      </c>
      <c r="E15" s="3" t="s">
        <v>2439</v>
      </c>
      <c r="F15" s="2" t="s">
        <v>2440</v>
      </c>
      <c r="G15" s="7"/>
      <c r="H15" s="2" t="s">
        <v>2359</v>
      </c>
      <c r="I15" s="2" t="s">
        <v>2406</v>
      </c>
      <c r="J15" s="2" t="s">
        <v>2361</v>
      </c>
      <c r="K15" s="2" t="s">
        <v>2441</v>
      </c>
      <c r="L15" s="8" t="str">
        <f>HYPERLINK("http://slimages.macys.com/is/image/MCY/16418383 ")</f>
        <v xml:space="preserve">http://slimages.macys.com/is/image/MCY/16418383 </v>
      </c>
    </row>
    <row r="16" spans="1:12" ht="30" customHeight="1" x14ac:dyDescent="0.25">
      <c r="A16" s="5" t="s">
        <v>2442</v>
      </c>
      <c r="B16" s="2" t="s">
        <v>2443</v>
      </c>
      <c r="C16" s="3">
        <v>1</v>
      </c>
      <c r="D16" s="6">
        <v>49.99</v>
      </c>
      <c r="E16" s="3" t="s">
        <v>2444</v>
      </c>
      <c r="F16" s="2"/>
      <c r="G16" s="7" t="s">
        <v>2445</v>
      </c>
      <c r="H16" s="2" t="s">
        <v>2446</v>
      </c>
      <c r="I16" s="2" t="s">
        <v>2447</v>
      </c>
      <c r="J16" s="2" t="s">
        <v>2361</v>
      </c>
      <c r="K16" s="2" t="s">
        <v>2448</v>
      </c>
      <c r="L16" s="8" t="str">
        <f>HYPERLINK("http://slimages.macys.com/is/image/MCY/15189025 ")</f>
        <v xml:space="preserve">http://slimages.macys.com/is/image/MCY/15189025 </v>
      </c>
    </row>
    <row r="17" spans="1:12" ht="30" customHeight="1" x14ac:dyDescent="0.25">
      <c r="A17" s="5" t="s">
        <v>2449</v>
      </c>
      <c r="B17" s="2" t="s">
        <v>2450</v>
      </c>
      <c r="C17" s="3">
        <v>1</v>
      </c>
      <c r="D17" s="6">
        <v>69.989999999999995</v>
      </c>
      <c r="E17" s="3" t="s">
        <v>2451</v>
      </c>
      <c r="F17" s="2" t="s">
        <v>2440</v>
      </c>
      <c r="G17" s="7"/>
      <c r="H17" s="2" t="s">
        <v>2359</v>
      </c>
      <c r="I17" s="2" t="s">
        <v>2406</v>
      </c>
      <c r="J17" s="2" t="s">
        <v>2361</v>
      </c>
      <c r="K17" s="2" t="s">
        <v>2452</v>
      </c>
      <c r="L17" s="8" t="str">
        <f>HYPERLINK("http://slimages.macys.com/is/image/MCY/9433664 ")</f>
        <v xml:space="preserve">http://slimages.macys.com/is/image/MCY/9433664 </v>
      </c>
    </row>
    <row r="18" spans="1:12" ht="30" customHeight="1" x14ac:dyDescent="0.25">
      <c r="A18" s="5" t="s">
        <v>2453</v>
      </c>
      <c r="B18" s="2" t="s">
        <v>2454</v>
      </c>
      <c r="C18" s="3">
        <v>1</v>
      </c>
      <c r="D18" s="6">
        <v>49.99</v>
      </c>
      <c r="E18" s="3">
        <v>19864122</v>
      </c>
      <c r="F18" s="2"/>
      <c r="G18" s="7"/>
      <c r="H18" s="2" t="s">
        <v>2359</v>
      </c>
      <c r="I18" s="2" t="s">
        <v>2447</v>
      </c>
      <c r="J18" s="2" t="s">
        <v>2361</v>
      </c>
      <c r="K18" s="2" t="s">
        <v>2455</v>
      </c>
      <c r="L18" s="8" t="str">
        <f>HYPERLINK("http://slimages.macys.com/is/image/MCY/10622016 ")</f>
        <v xml:space="preserve">http://slimages.macys.com/is/image/MCY/10622016 </v>
      </c>
    </row>
    <row r="19" spans="1:12" ht="30" customHeight="1" x14ac:dyDescent="0.25">
      <c r="A19" s="5" t="s">
        <v>2456</v>
      </c>
      <c r="B19" s="2" t="s">
        <v>2457</v>
      </c>
      <c r="C19" s="3">
        <v>1</v>
      </c>
      <c r="D19" s="6">
        <v>39.99</v>
      </c>
      <c r="E19" s="3">
        <v>756531</v>
      </c>
      <c r="F19" s="2" t="s">
        <v>2458</v>
      </c>
      <c r="G19" s="7"/>
      <c r="H19" s="2" t="s">
        <v>2459</v>
      </c>
      <c r="I19" s="2" t="s">
        <v>2460</v>
      </c>
      <c r="J19" s="2" t="s">
        <v>2361</v>
      </c>
      <c r="K19" s="2"/>
      <c r="L19" s="8" t="str">
        <f>HYPERLINK("http://slimages.macys.com/is/image/MCY/9790834 ")</f>
        <v xml:space="preserve">http://slimages.macys.com/is/image/MCY/9790834 </v>
      </c>
    </row>
    <row r="20" spans="1:12" ht="30" customHeight="1" x14ac:dyDescent="0.25">
      <c r="A20" s="5" t="s">
        <v>2461</v>
      </c>
      <c r="B20" s="2" t="s">
        <v>2462</v>
      </c>
      <c r="C20" s="3">
        <v>1</v>
      </c>
      <c r="D20" s="6">
        <v>69.989999999999995</v>
      </c>
      <c r="E20" s="3" t="s">
        <v>2463</v>
      </c>
      <c r="F20" s="2" t="s">
        <v>2464</v>
      </c>
      <c r="G20" s="7"/>
      <c r="H20" s="2" t="s">
        <v>2465</v>
      </c>
      <c r="I20" s="2" t="s">
        <v>2466</v>
      </c>
      <c r="J20" s="2" t="s">
        <v>2467</v>
      </c>
      <c r="K20" s="2" t="s">
        <v>2468</v>
      </c>
      <c r="L20" s="8" t="str">
        <f>HYPERLINK("http://slimages.macys.com/is/image/MCY/8965571 ")</f>
        <v xml:space="preserve">http://slimages.macys.com/is/image/MCY/8965571 </v>
      </c>
    </row>
    <row r="21" spans="1:12" ht="30" customHeight="1" x14ac:dyDescent="0.25">
      <c r="A21" s="5" t="s">
        <v>2469</v>
      </c>
      <c r="B21" s="2" t="s">
        <v>2470</v>
      </c>
      <c r="C21" s="3">
        <v>1</v>
      </c>
      <c r="D21" s="6">
        <v>49.99</v>
      </c>
      <c r="E21" s="3" t="s">
        <v>2471</v>
      </c>
      <c r="F21" s="2" t="s">
        <v>2472</v>
      </c>
      <c r="G21" s="7"/>
      <c r="H21" s="2" t="s">
        <v>2473</v>
      </c>
      <c r="I21" s="2" t="s">
        <v>2474</v>
      </c>
      <c r="J21" s="2" t="s">
        <v>2361</v>
      </c>
      <c r="K21" s="2" t="s">
        <v>2377</v>
      </c>
      <c r="L21" s="8" t="str">
        <f>HYPERLINK("http://slimages.macys.com/is/image/MCY/9965724 ")</f>
        <v xml:space="preserve">http://slimages.macys.com/is/image/MCY/9965724 </v>
      </c>
    </row>
    <row r="22" spans="1:12" ht="30" customHeight="1" x14ac:dyDescent="0.25">
      <c r="A22" s="5" t="s">
        <v>2475</v>
      </c>
      <c r="B22" s="2" t="s">
        <v>2476</v>
      </c>
      <c r="C22" s="3">
        <v>1</v>
      </c>
      <c r="D22" s="6">
        <v>59.99</v>
      </c>
      <c r="E22" s="3" t="s">
        <v>2477</v>
      </c>
      <c r="F22" s="2" t="s">
        <v>2440</v>
      </c>
      <c r="G22" s="7" t="s">
        <v>2478</v>
      </c>
      <c r="H22" s="2" t="s">
        <v>2473</v>
      </c>
      <c r="I22" s="2" t="s">
        <v>2479</v>
      </c>
      <c r="J22" s="2" t="s">
        <v>2361</v>
      </c>
      <c r="K22" s="2"/>
      <c r="L22" s="8" t="str">
        <f>HYPERLINK("http://slimages.macys.com/is/image/MCY/15202993 ")</f>
        <v xml:space="preserve">http://slimages.macys.com/is/image/MCY/15202993 </v>
      </c>
    </row>
    <row r="23" spans="1:12" ht="30" customHeight="1" x14ac:dyDescent="0.25">
      <c r="A23" s="5" t="s">
        <v>2480</v>
      </c>
      <c r="B23" s="2" t="s">
        <v>2481</v>
      </c>
      <c r="C23" s="3">
        <v>2</v>
      </c>
      <c r="D23" s="6">
        <v>34.99</v>
      </c>
      <c r="E23" s="3" t="s">
        <v>2482</v>
      </c>
      <c r="F23" s="2" t="s">
        <v>2394</v>
      </c>
      <c r="G23" s="7" t="s">
        <v>2483</v>
      </c>
      <c r="H23" s="2" t="s">
        <v>2419</v>
      </c>
      <c r="I23" s="2" t="s">
        <v>2406</v>
      </c>
      <c r="J23" s="2" t="s">
        <v>2361</v>
      </c>
      <c r="K23" s="2" t="s">
        <v>2484</v>
      </c>
      <c r="L23" s="8" t="str">
        <f>HYPERLINK("http://slimages.macys.com/is/image/MCY/8810083 ")</f>
        <v xml:space="preserve">http://slimages.macys.com/is/image/MCY/8810083 </v>
      </c>
    </row>
    <row r="24" spans="1:12" ht="30" customHeight="1" x14ac:dyDescent="0.25">
      <c r="A24" s="5" t="s">
        <v>2485</v>
      </c>
      <c r="B24" s="2" t="s">
        <v>2486</v>
      </c>
      <c r="C24" s="3">
        <v>1</v>
      </c>
      <c r="D24" s="6">
        <v>29.99</v>
      </c>
      <c r="E24" s="3" t="s">
        <v>2487</v>
      </c>
      <c r="F24" s="2" t="s">
        <v>2488</v>
      </c>
      <c r="G24" s="7" t="s">
        <v>2489</v>
      </c>
      <c r="H24" s="2" t="s">
        <v>2419</v>
      </c>
      <c r="I24" s="2" t="s">
        <v>2406</v>
      </c>
      <c r="J24" s="2" t="s">
        <v>2361</v>
      </c>
      <c r="K24" s="2" t="s">
        <v>2490</v>
      </c>
      <c r="L24" s="8" t="str">
        <f>HYPERLINK("http://slimages.macys.com/is/image/MCY/9602270 ")</f>
        <v xml:space="preserve">http://slimages.macys.com/is/image/MCY/9602270 </v>
      </c>
    </row>
    <row r="25" spans="1:12" ht="30" customHeight="1" x14ac:dyDescent="0.25">
      <c r="A25" s="5" t="s">
        <v>2491</v>
      </c>
      <c r="B25" s="2" t="s">
        <v>2492</v>
      </c>
      <c r="C25" s="3">
        <v>1</v>
      </c>
      <c r="D25" s="6">
        <v>29.99</v>
      </c>
      <c r="E25" s="3" t="s">
        <v>2493</v>
      </c>
      <c r="F25" s="2" t="s">
        <v>2381</v>
      </c>
      <c r="G25" s="7"/>
      <c r="H25" s="2" t="s">
        <v>2419</v>
      </c>
      <c r="I25" s="2" t="s">
        <v>2406</v>
      </c>
      <c r="J25" s="2" t="s">
        <v>2361</v>
      </c>
      <c r="K25" s="2" t="s">
        <v>2494</v>
      </c>
      <c r="L25" s="8" t="str">
        <f>HYPERLINK("http://slimages.macys.com/is/image/MCY/9615492 ")</f>
        <v xml:space="preserve">http://slimages.macys.com/is/image/MCY/9615492 </v>
      </c>
    </row>
    <row r="26" spans="1:12" ht="30" customHeight="1" x14ac:dyDescent="0.25">
      <c r="A26" s="5" t="s">
        <v>2495</v>
      </c>
      <c r="B26" s="2" t="s">
        <v>2496</v>
      </c>
      <c r="C26" s="3">
        <v>1</v>
      </c>
      <c r="D26" s="6">
        <v>49.99</v>
      </c>
      <c r="E26" s="3" t="s">
        <v>2497</v>
      </c>
      <c r="F26" s="2" t="s">
        <v>2464</v>
      </c>
      <c r="G26" s="7"/>
      <c r="H26" s="2" t="s">
        <v>2465</v>
      </c>
      <c r="I26" s="2" t="s">
        <v>2466</v>
      </c>
      <c r="J26" s="2" t="s">
        <v>2467</v>
      </c>
      <c r="K26" s="2" t="s">
        <v>2468</v>
      </c>
      <c r="L26" s="8" t="str">
        <f>HYPERLINK("http://slimages.macys.com/is/image/MCY/8965572 ")</f>
        <v xml:space="preserve">http://slimages.macys.com/is/image/MCY/8965572 </v>
      </c>
    </row>
    <row r="27" spans="1:12" ht="30" customHeight="1" x14ac:dyDescent="0.25">
      <c r="A27" s="5" t="s">
        <v>2498</v>
      </c>
      <c r="B27" s="2" t="s">
        <v>2499</v>
      </c>
      <c r="C27" s="3">
        <v>1</v>
      </c>
      <c r="D27" s="6">
        <v>29.99</v>
      </c>
      <c r="E27" s="3" t="s">
        <v>2500</v>
      </c>
      <c r="F27" s="2" t="s">
        <v>2440</v>
      </c>
      <c r="G27" s="7"/>
      <c r="H27" s="2" t="s">
        <v>2359</v>
      </c>
      <c r="I27" s="2" t="s">
        <v>2501</v>
      </c>
      <c r="J27" s="2" t="s">
        <v>2361</v>
      </c>
      <c r="K27" s="2" t="s">
        <v>2502</v>
      </c>
      <c r="L27" s="8" t="str">
        <f>HYPERLINK("http://slimages.macys.com/is/image/MCY/10015428 ")</f>
        <v xml:space="preserve">http://slimages.macys.com/is/image/MCY/10015428 </v>
      </c>
    </row>
    <row r="28" spans="1:12" ht="30" customHeight="1" x14ac:dyDescent="0.25">
      <c r="A28" s="5" t="s">
        <v>2503</v>
      </c>
      <c r="B28" s="2" t="s">
        <v>2504</v>
      </c>
      <c r="C28" s="3">
        <v>1</v>
      </c>
      <c r="D28" s="6">
        <v>24.99</v>
      </c>
      <c r="E28" s="3" t="s">
        <v>2505</v>
      </c>
      <c r="F28" s="2" t="s">
        <v>2506</v>
      </c>
      <c r="G28" s="7"/>
      <c r="H28" s="2" t="s">
        <v>2459</v>
      </c>
      <c r="I28" s="2" t="s">
        <v>2507</v>
      </c>
      <c r="J28" s="2" t="s">
        <v>2361</v>
      </c>
      <c r="K28" s="2" t="s">
        <v>2508</v>
      </c>
      <c r="L28" s="8" t="str">
        <f>HYPERLINK("http://slimages.macys.com/is/image/MCY/12060831 ")</f>
        <v xml:space="preserve">http://slimages.macys.com/is/image/MCY/12060831 </v>
      </c>
    </row>
    <row r="29" spans="1:12" ht="30" customHeight="1" x14ac:dyDescent="0.25">
      <c r="A29" s="5" t="s">
        <v>2509</v>
      </c>
      <c r="B29" s="2" t="s">
        <v>2510</v>
      </c>
      <c r="C29" s="3">
        <v>1</v>
      </c>
      <c r="D29" s="6">
        <v>29.99</v>
      </c>
      <c r="E29" s="3" t="s">
        <v>2511</v>
      </c>
      <c r="F29" s="2" t="s">
        <v>2512</v>
      </c>
      <c r="G29" s="7"/>
      <c r="H29" s="2" t="s">
        <v>2368</v>
      </c>
      <c r="I29" s="2" t="s">
        <v>2369</v>
      </c>
      <c r="J29" s="2" t="s">
        <v>2432</v>
      </c>
      <c r="K29" s="2" t="s">
        <v>2513</v>
      </c>
      <c r="L29" s="8" t="str">
        <f>HYPERLINK("http://slimages.macys.com/is/image/MCY/9121143 ")</f>
        <v xml:space="preserve">http://slimages.macys.com/is/image/MCY/9121143 </v>
      </c>
    </row>
    <row r="30" spans="1:12" ht="30" customHeight="1" x14ac:dyDescent="0.25">
      <c r="A30" s="5" t="s">
        <v>2514</v>
      </c>
      <c r="B30" s="2" t="s">
        <v>2515</v>
      </c>
      <c r="C30" s="3">
        <v>1</v>
      </c>
      <c r="D30" s="6">
        <v>24.99</v>
      </c>
      <c r="E30" s="3" t="s">
        <v>2516</v>
      </c>
      <c r="F30" s="2" t="s">
        <v>2517</v>
      </c>
      <c r="G30" s="7" t="s">
        <v>2518</v>
      </c>
      <c r="H30" s="2" t="s">
        <v>2419</v>
      </c>
      <c r="I30" s="2" t="s">
        <v>2406</v>
      </c>
      <c r="J30" s="2" t="s">
        <v>2361</v>
      </c>
      <c r="K30" s="2" t="s">
        <v>2519</v>
      </c>
      <c r="L30" s="8" t="str">
        <f>HYPERLINK("http://slimages.macys.com/is/image/MCY/9602403 ")</f>
        <v xml:space="preserve">http://slimages.macys.com/is/image/MCY/9602403 </v>
      </c>
    </row>
    <row r="31" spans="1:12" ht="30" customHeight="1" x14ac:dyDescent="0.25">
      <c r="A31" s="5" t="s">
        <v>2520</v>
      </c>
      <c r="B31" s="2" t="s">
        <v>2521</v>
      </c>
      <c r="C31" s="3">
        <v>2</v>
      </c>
      <c r="D31" s="6">
        <v>19.989999999999998</v>
      </c>
      <c r="E31" s="3" t="s">
        <v>2522</v>
      </c>
      <c r="F31" s="2" t="s">
        <v>2381</v>
      </c>
      <c r="G31" s="7" t="s">
        <v>2518</v>
      </c>
      <c r="H31" s="2" t="s">
        <v>2419</v>
      </c>
      <c r="I31" s="2" t="s">
        <v>2406</v>
      </c>
      <c r="J31" s="2" t="s">
        <v>2361</v>
      </c>
      <c r="K31" s="2" t="s">
        <v>2523</v>
      </c>
      <c r="L31" s="8" t="str">
        <f>HYPERLINK("http://slimages.macys.com/is/image/MCY/9602450 ")</f>
        <v xml:space="preserve">http://slimages.macys.com/is/image/MCY/9602450 </v>
      </c>
    </row>
    <row r="32" spans="1:12" ht="30" customHeight="1" x14ac:dyDescent="0.25">
      <c r="A32" s="5" t="s">
        <v>2524</v>
      </c>
      <c r="B32" s="2" t="s">
        <v>2525</v>
      </c>
      <c r="C32" s="3">
        <v>1</v>
      </c>
      <c r="D32" s="6">
        <v>34.99</v>
      </c>
      <c r="E32" s="3" t="s">
        <v>2526</v>
      </c>
      <c r="F32" s="2" t="s">
        <v>2424</v>
      </c>
      <c r="G32" s="7"/>
      <c r="H32" s="2" t="s">
        <v>2395</v>
      </c>
      <c r="I32" s="2" t="s">
        <v>2527</v>
      </c>
      <c r="J32" s="2" t="s">
        <v>2361</v>
      </c>
      <c r="K32" s="2" t="s">
        <v>2377</v>
      </c>
      <c r="L32" s="8" t="str">
        <f>HYPERLINK("http://slimages.macys.com/is/image/MCY/14601403 ")</f>
        <v xml:space="preserve">http://slimages.macys.com/is/image/MCY/14601403 </v>
      </c>
    </row>
    <row r="33" spans="1:12" ht="30" customHeight="1" x14ac:dyDescent="0.25">
      <c r="A33" s="5" t="s">
        <v>2528</v>
      </c>
      <c r="B33" s="2" t="s">
        <v>2529</v>
      </c>
      <c r="C33" s="3">
        <v>1</v>
      </c>
      <c r="D33" s="6">
        <v>14.99</v>
      </c>
      <c r="E33" s="3">
        <v>1002331000</v>
      </c>
      <c r="F33" s="2" t="s">
        <v>2530</v>
      </c>
      <c r="G33" s="7" t="s">
        <v>2531</v>
      </c>
      <c r="H33" s="2" t="s">
        <v>2532</v>
      </c>
      <c r="I33" s="2" t="s">
        <v>2369</v>
      </c>
      <c r="J33" s="2" t="s">
        <v>2361</v>
      </c>
      <c r="K33" s="2" t="s">
        <v>2397</v>
      </c>
      <c r="L33" s="8" t="str">
        <f>HYPERLINK("http://slimages.macys.com/is/image/MCY/9837835 ")</f>
        <v xml:space="preserve">http://slimages.macys.com/is/image/MCY/9837835 </v>
      </c>
    </row>
    <row r="34" spans="1:12" ht="30" customHeight="1" x14ac:dyDescent="0.25">
      <c r="A34" s="5" t="s">
        <v>2533</v>
      </c>
      <c r="B34" s="2" t="s">
        <v>2534</v>
      </c>
      <c r="C34" s="3">
        <v>1</v>
      </c>
      <c r="D34" s="6">
        <v>8.99</v>
      </c>
      <c r="E34" s="3" t="s">
        <v>2535</v>
      </c>
      <c r="F34" s="2" t="s">
        <v>2536</v>
      </c>
      <c r="G34" s="7"/>
      <c r="H34" s="2" t="s">
        <v>2537</v>
      </c>
      <c r="I34" s="2" t="s">
        <v>2538</v>
      </c>
      <c r="J34" s="2" t="s">
        <v>2361</v>
      </c>
      <c r="K34" s="2"/>
      <c r="L34" s="8" t="str">
        <f>HYPERLINK("http://slimages.macys.com/is/image/MCY/14426507 ")</f>
        <v xml:space="preserve">http://slimages.macys.com/is/image/MCY/14426507 </v>
      </c>
    </row>
    <row r="35" spans="1:12" ht="30" customHeight="1" x14ac:dyDescent="0.25">
      <c r="A35" s="5" t="s">
        <v>2539</v>
      </c>
      <c r="B35" s="2" t="s">
        <v>2540</v>
      </c>
      <c r="C35" s="3">
        <v>6</v>
      </c>
      <c r="D35" s="6">
        <v>12.99</v>
      </c>
      <c r="E35" s="3" t="s">
        <v>2541</v>
      </c>
      <c r="F35" s="2" t="s">
        <v>2374</v>
      </c>
      <c r="G35" s="7" t="s">
        <v>2382</v>
      </c>
      <c r="H35" s="2" t="s">
        <v>2459</v>
      </c>
      <c r="I35" s="2" t="s">
        <v>2542</v>
      </c>
      <c r="J35" s="2" t="s">
        <v>2361</v>
      </c>
      <c r="K35" s="2"/>
      <c r="L35" s="8" t="str">
        <f>HYPERLINK("http://slimages.macys.com/is/image/MCY/14881095 ")</f>
        <v xml:space="preserve">http://slimages.macys.com/is/image/MCY/14881095 </v>
      </c>
    </row>
    <row r="36" spans="1:12" ht="30" customHeight="1" x14ac:dyDescent="0.25">
      <c r="A36" s="5" t="s">
        <v>2543</v>
      </c>
      <c r="B36" s="2" t="s">
        <v>2544</v>
      </c>
      <c r="C36" s="3">
        <v>1</v>
      </c>
      <c r="D36" s="6">
        <v>10.99</v>
      </c>
      <c r="E36" s="3" t="s">
        <v>2545</v>
      </c>
      <c r="F36" s="2" t="s">
        <v>2374</v>
      </c>
      <c r="G36" s="7" t="s">
        <v>2546</v>
      </c>
      <c r="H36" s="2" t="s">
        <v>2446</v>
      </c>
      <c r="I36" s="2" t="s">
        <v>2547</v>
      </c>
      <c r="J36" s="2" t="s">
        <v>2361</v>
      </c>
      <c r="K36" s="2" t="s">
        <v>2548</v>
      </c>
      <c r="L36" s="8" t="str">
        <f>HYPERLINK("http://slimages.macys.com/is/image/MCY/13764586 ")</f>
        <v xml:space="preserve">http://slimages.macys.com/is/image/MCY/13764586 </v>
      </c>
    </row>
    <row r="37" spans="1:12" ht="30" customHeight="1" x14ac:dyDescent="0.25">
      <c r="A37" s="5" t="s">
        <v>2549</v>
      </c>
      <c r="B37" s="2" t="s">
        <v>2550</v>
      </c>
      <c r="C37" s="3">
        <v>1</v>
      </c>
      <c r="D37" s="6">
        <v>5.99</v>
      </c>
      <c r="E37" s="3" t="s">
        <v>2551</v>
      </c>
      <c r="F37" s="2" t="s">
        <v>2552</v>
      </c>
      <c r="G37" s="7" t="s">
        <v>2553</v>
      </c>
      <c r="H37" s="2" t="s">
        <v>2532</v>
      </c>
      <c r="I37" s="2" t="s">
        <v>2554</v>
      </c>
      <c r="J37" s="2" t="s">
        <v>2361</v>
      </c>
      <c r="K37" s="2" t="s">
        <v>2508</v>
      </c>
      <c r="L37" s="8" t="str">
        <f>HYPERLINK("http://slimages.macys.com/is/image/MCY/13397621 ")</f>
        <v xml:space="preserve">http://slimages.macys.com/is/image/MCY/13397621 </v>
      </c>
    </row>
    <row r="38" spans="1:12" ht="30" customHeight="1" x14ac:dyDescent="0.25">
      <c r="A38" s="5" t="s">
        <v>2555</v>
      </c>
      <c r="B38" s="2" t="s">
        <v>2556</v>
      </c>
      <c r="C38" s="3">
        <v>1</v>
      </c>
      <c r="D38" s="6">
        <v>10</v>
      </c>
      <c r="E38" s="3" t="s">
        <v>2557</v>
      </c>
      <c r="F38" s="2" t="s">
        <v>2374</v>
      </c>
      <c r="G38" s="7"/>
      <c r="H38" s="2" t="s">
        <v>2412</v>
      </c>
      <c r="I38" s="2" t="s">
        <v>2558</v>
      </c>
      <c r="J38" s="2"/>
      <c r="K38" s="2"/>
      <c r="L38" s="8"/>
    </row>
    <row r="39" spans="1:12" ht="30" customHeight="1" x14ac:dyDescent="0.25">
      <c r="A39" s="5" t="s">
        <v>2559</v>
      </c>
      <c r="B39" s="2" t="s">
        <v>2560</v>
      </c>
      <c r="C39" s="3">
        <v>4</v>
      </c>
      <c r="D39" s="6">
        <v>8.99</v>
      </c>
      <c r="E39" s="3" t="s">
        <v>2561</v>
      </c>
      <c r="F39" s="2" t="s">
        <v>2374</v>
      </c>
      <c r="G39" s="7"/>
      <c r="H39" s="2" t="s">
        <v>2412</v>
      </c>
      <c r="I39" s="2" t="s">
        <v>2562</v>
      </c>
      <c r="J39" s="2"/>
      <c r="K39" s="2"/>
      <c r="L39" s="8"/>
    </row>
  </sheetData>
  <phoneticPr fontId="0" type="noConversion"/>
  <pageMargins left="0.5" right="0.5" top="0.25" bottom="0.25" header="0.3" footer="0.3"/>
  <pageSetup scale="65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RowHeight="30" customHeight="1" x14ac:dyDescent="0.25"/>
  <cols>
    <col min="1" max="1" width="13.140625" bestFit="1" customWidth="1"/>
    <col min="2" max="2" width="22.28515625" customWidth="1"/>
    <col min="3" max="3" width="12.42578125" bestFit="1" customWidth="1"/>
    <col min="4" max="4" width="15" customWidth="1"/>
    <col min="5" max="5" width="16.7109375" bestFit="1" customWidth="1"/>
    <col min="6" max="6" width="11.140625" bestFit="1" customWidth="1"/>
    <col min="7" max="7" width="10.85546875" customWidth="1"/>
    <col min="8" max="8" width="12.140625" customWidth="1"/>
    <col min="9" max="9" width="36.5703125" bestFit="1" customWidth="1"/>
    <col min="10" max="10" width="17.7109375" bestFit="1" customWidth="1"/>
    <col min="11" max="11" width="105.85546875" bestFit="1" customWidth="1"/>
    <col min="12" max="12" width="42.85546875" bestFit="1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1341</v>
      </c>
      <c r="B2" s="2" t="s">
        <v>1342</v>
      </c>
      <c r="C2" s="3">
        <v>1</v>
      </c>
      <c r="D2" s="6">
        <v>349.99</v>
      </c>
      <c r="E2" s="3" t="s">
        <v>1343</v>
      </c>
      <c r="F2" s="2" t="s">
        <v>2440</v>
      </c>
      <c r="G2" s="7"/>
      <c r="H2" s="2" t="s">
        <v>2359</v>
      </c>
      <c r="I2" s="2" t="s">
        <v>2583</v>
      </c>
      <c r="J2" s="2" t="s">
        <v>2361</v>
      </c>
      <c r="K2" s="2" t="s">
        <v>2377</v>
      </c>
      <c r="L2" s="8" t="str">
        <f>HYPERLINK("http://slimages.macys.com/is/image/MCY/15504776 ")</f>
        <v xml:space="preserve">http://slimages.macys.com/is/image/MCY/15504776 </v>
      </c>
    </row>
    <row r="3" spans="1:12" ht="30" customHeight="1" x14ac:dyDescent="0.25">
      <c r="A3" s="5" t="s">
        <v>1344</v>
      </c>
      <c r="B3" s="2" t="s">
        <v>1345</v>
      </c>
      <c r="C3" s="3">
        <v>2</v>
      </c>
      <c r="D3" s="6">
        <v>171.99</v>
      </c>
      <c r="E3" s="3" t="s">
        <v>1346</v>
      </c>
      <c r="F3" s="2" t="s">
        <v>2622</v>
      </c>
      <c r="G3" s="7"/>
      <c r="H3" s="2" t="s">
        <v>2359</v>
      </c>
      <c r="I3" s="2" t="s">
        <v>2406</v>
      </c>
      <c r="J3" s="2" t="s">
        <v>2361</v>
      </c>
      <c r="K3" s="2" t="s">
        <v>1347</v>
      </c>
      <c r="L3" s="8" t="str">
        <f>HYPERLINK("http://slimages.macys.com/is/image/MCY/16484486 ")</f>
        <v xml:space="preserve">http://slimages.macys.com/is/image/MCY/16484486 </v>
      </c>
    </row>
    <row r="4" spans="1:12" ht="30" customHeight="1" x14ac:dyDescent="0.25">
      <c r="A4" s="5" t="s">
        <v>1348</v>
      </c>
      <c r="B4" s="2" t="s">
        <v>1349</v>
      </c>
      <c r="C4" s="3">
        <v>1</v>
      </c>
      <c r="D4" s="6">
        <v>139.99</v>
      </c>
      <c r="E4" s="3" t="s">
        <v>1350</v>
      </c>
      <c r="F4" s="2" t="s">
        <v>2440</v>
      </c>
      <c r="G4" s="7"/>
      <c r="H4" s="2" t="s">
        <v>2359</v>
      </c>
      <c r="I4" s="2" t="s">
        <v>2406</v>
      </c>
      <c r="J4" s="2" t="s">
        <v>2361</v>
      </c>
      <c r="K4" s="2" t="s">
        <v>1351</v>
      </c>
      <c r="L4" s="8" t="str">
        <f>HYPERLINK("http://slimages.macys.com/is/image/MCY/9798716 ")</f>
        <v xml:space="preserve">http://slimages.macys.com/is/image/MCY/9798716 </v>
      </c>
    </row>
    <row r="5" spans="1:12" ht="30" customHeight="1" x14ac:dyDescent="0.25">
      <c r="A5" s="5" t="s">
        <v>1352</v>
      </c>
      <c r="B5" s="2" t="s">
        <v>1353</v>
      </c>
      <c r="C5" s="3">
        <v>1</v>
      </c>
      <c r="D5" s="6">
        <v>149.99</v>
      </c>
      <c r="E5" s="3" t="s">
        <v>1354</v>
      </c>
      <c r="F5" s="2" t="s">
        <v>2381</v>
      </c>
      <c r="G5" s="7"/>
      <c r="H5" s="2" t="s">
        <v>2359</v>
      </c>
      <c r="I5" s="2" t="s">
        <v>2406</v>
      </c>
      <c r="J5" s="2" t="s">
        <v>2361</v>
      </c>
      <c r="K5" s="2" t="s">
        <v>1355</v>
      </c>
      <c r="L5" s="8" t="str">
        <f>HYPERLINK("http://slimages.macys.com/is/image/MCY/9627844 ")</f>
        <v xml:space="preserve">http://slimages.macys.com/is/image/MCY/9627844 </v>
      </c>
    </row>
    <row r="6" spans="1:12" ht="30" customHeight="1" x14ac:dyDescent="0.25">
      <c r="A6" s="5" t="s">
        <v>1356</v>
      </c>
      <c r="B6" s="2" t="s">
        <v>1357</v>
      </c>
      <c r="C6" s="3">
        <v>1</v>
      </c>
      <c r="D6" s="6">
        <v>94.99</v>
      </c>
      <c r="E6" s="3" t="s">
        <v>1358</v>
      </c>
      <c r="F6" s="2" t="s">
        <v>2374</v>
      </c>
      <c r="G6" s="7"/>
      <c r="H6" s="2" t="s">
        <v>2430</v>
      </c>
      <c r="I6" s="2" t="s">
        <v>1359</v>
      </c>
      <c r="J6" s="2" t="s">
        <v>2361</v>
      </c>
      <c r="K6" s="2" t="s">
        <v>2397</v>
      </c>
      <c r="L6" s="8" t="str">
        <f>HYPERLINK("http://slimages.macys.com/is/image/MCY/13720329 ")</f>
        <v xml:space="preserve">http://slimages.macys.com/is/image/MCY/13720329 </v>
      </c>
    </row>
    <row r="7" spans="1:12" ht="30" customHeight="1" x14ac:dyDescent="0.25">
      <c r="A7" s="5" t="s">
        <v>1360</v>
      </c>
      <c r="B7" s="2" t="s">
        <v>1361</v>
      </c>
      <c r="C7" s="3">
        <v>1</v>
      </c>
      <c r="D7" s="6">
        <v>93.99</v>
      </c>
      <c r="E7" s="3" t="s">
        <v>1362</v>
      </c>
      <c r="F7" s="2" t="s">
        <v>2793</v>
      </c>
      <c r="G7" s="7"/>
      <c r="H7" s="2" t="s">
        <v>2359</v>
      </c>
      <c r="I7" s="2" t="s">
        <v>2784</v>
      </c>
      <c r="J7" s="2" t="s">
        <v>2361</v>
      </c>
      <c r="K7" s="2" t="s">
        <v>2397</v>
      </c>
      <c r="L7" s="8" t="str">
        <f>HYPERLINK("http://slimages.macys.com/is/image/MCY/15607047 ")</f>
        <v xml:space="preserve">http://slimages.macys.com/is/image/MCY/15607047 </v>
      </c>
    </row>
    <row r="8" spans="1:12" ht="30" customHeight="1" x14ac:dyDescent="0.25">
      <c r="A8" s="5" t="s">
        <v>1363</v>
      </c>
      <c r="B8" s="2" t="s">
        <v>1364</v>
      </c>
      <c r="C8" s="3">
        <v>2</v>
      </c>
      <c r="D8" s="6">
        <v>88.99</v>
      </c>
      <c r="E8" s="3" t="s">
        <v>1365</v>
      </c>
      <c r="F8" s="2" t="s">
        <v>2464</v>
      </c>
      <c r="G8" s="7" t="s">
        <v>2382</v>
      </c>
      <c r="H8" s="2" t="s">
        <v>2419</v>
      </c>
      <c r="I8" s="2" t="s">
        <v>1366</v>
      </c>
      <c r="J8" s="2" t="s">
        <v>2789</v>
      </c>
      <c r="K8" s="2" t="s">
        <v>1367</v>
      </c>
      <c r="L8" s="8" t="str">
        <f>HYPERLINK("http://slimages.macys.com/is/image/MCY/9718512 ")</f>
        <v xml:space="preserve">http://slimages.macys.com/is/image/MCY/9718512 </v>
      </c>
    </row>
    <row r="9" spans="1:12" ht="30" customHeight="1" x14ac:dyDescent="0.25">
      <c r="A9" s="5" t="s">
        <v>1368</v>
      </c>
      <c r="B9" s="2" t="s">
        <v>1369</v>
      </c>
      <c r="C9" s="3">
        <v>1</v>
      </c>
      <c r="D9" s="6">
        <v>89.99</v>
      </c>
      <c r="E9" s="3" t="s">
        <v>1370</v>
      </c>
      <c r="F9" s="2" t="s">
        <v>2582</v>
      </c>
      <c r="G9" s="7" t="s">
        <v>2518</v>
      </c>
      <c r="H9" s="2" t="s">
        <v>2388</v>
      </c>
      <c r="I9" s="2" t="s">
        <v>1371</v>
      </c>
      <c r="J9" s="2"/>
      <c r="K9" s="2"/>
      <c r="L9" s="8" t="str">
        <f>HYPERLINK("http://slimages.macys.com/is/image/MCY/8179400 ")</f>
        <v xml:space="preserve">http://slimages.macys.com/is/image/MCY/8179400 </v>
      </c>
    </row>
    <row r="10" spans="1:12" ht="30" customHeight="1" x14ac:dyDescent="0.25">
      <c r="A10" s="5" t="s">
        <v>1372</v>
      </c>
      <c r="B10" s="2" t="s">
        <v>1373</v>
      </c>
      <c r="C10" s="3">
        <v>1</v>
      </c>
      <c r="D10" s="6">
        <v>129.99</v>
      </c>
      <c r="E10" s="3" t="s">
        <v>1374</v>
      </c>
      <c r="F10" s="2" t="s">
        <v>2381</v>
      </c>
      <c r="G10" s="7"/>
      <c r="H10" s="2" t="s">
        <v>2359</v>
      </c>
      <c r="I10" s="2" t="s">
        <v>2501</v>
      </c>
      <c r="J10" s="2" t="s">
        <v>2361</v>
      </c>
      <c r="K10" s="2" t="s">
        <v>2831</v>
      </c>
      <c r="L10" s="8" t="str">
        <f>HYPERLINK("http://slimages.macys.com/is/image/MCY/9944751 ")</f>
        <v xml:space="preserve">http://slimages.macys.com/is/image/MCY/9944751 </v>
      </c>
    </row>
    <row r="11" spans="1:12" ht="30" customHeight="1" x14ac:dyDescent="0.25">
      <c r="A11" s="5" t="s">
        <v>1375</v>
      </c>
      <c r="B11" s="2" t="s">
        <v>1376</v>
      </c>
      <c r="C11" s="3">
        <v>1</v>
      </c>
      <c r="D11" s="6">
        <v>57.99</v>
      </c>
      <c r="E11" s="3" t="s">
        <v>1377</v>
      </c>
      <c r="F11" s="2" t="s">
        <v>2374</v>
      </c>
      <c r="G11" s="7" t="s">
        <v>2666</v>
      </c>
      <c r="H11" s="2" t="s">
        <v>2412</v>
      </c>
      <c r="I11" s="2" t="s">
        <v>2788</v>
      </c>
      <c r="J11" s="2" t="s">
        <v>2789</v>
      </c>
      <c r="K11" s="2" t="s">
        <v>1378</v>
      </c>
      <c r="L11" s="8" t="str">
        <f>HYPERLINK("http://slimages.macys.com/is/image/MCY/11798302 ")</f>
        <v xml:space="preserve">http://slimages.macys.com/is/image/MCY/11798302 </v>
      </c>
    </row>
    <row r="12" spans="1:12" ht="30" customHeight="1" x14ac:dyDescent="0.25">
      <c r="A12" s="5" t="s">
        <v>1379</v>
      </c>
      <c r="B12" s="2" t="s">
        <v>1380</v>
      </c>
      <c r="C12" s="3">
        <v>1</v>
      </c>
      <c r="D12" s="6">
        <v>65.989999999999995</v>
      </c>
      <c r="E12" s="3" t="s">
        <v>1381</v>
      </c>
      <c r="F12" s="2" t="s">
        <v>2536</v>
      </c>
      <c r="G12" s="7"/>
      <c r="H12" s="2" t="s">
        <v>2359</v>
      </c>
      <c r="I12" s="2" t="s">
        <v>2406</v>
      </c>
      <c r="J12" s="2" t="s">
        <v>2361</v>
      </c>
      <c r="K12" s="2" t="s">
        <v>1382</v>
      </c>
      <c r="L12" s="8" t="str">
        <f>HYPERLINK("http://slimages.macys.com/is/image/MCY/9767741 ")</f>
        <v xml:space="preserve">http://slimages.macys.com/is/image/MCY/9767741 </v>
      </c>
    </row>
    <row r="13" spans="1:12" ht="30" customHeight="1" x14ac:dyDescent="0.25">
      <c r="A13" s="5" t="s">
        <v>1383</v>
      </c>
      <c r="B13" s="2" t="s">
        <v>1384</v>
      </c>
      <c r="C13" s="3">
        <v>1</v>
      </c>
      <c r="D13" s="6">
        <v>49.99</v>
      </c>
      <c r="E13" s="3" t="s">
        <v>1385</v>
      </c>
      <c r="F13" s="2" t="s">
        <v>2394</v>
      </c>
      <c r="G13" s="7"/>
      <c r="H13" s="2" t="s">
        <v>2537</v>
      </c>
      <c r="I13" s="2" t="s">
        <v>3353</v>
      </c>
      <c r="J13" s="2" t="s">
        <v>2361</v>
      </c>
      <c r="K13" s="2" t="s">
        <v>2441</v>
      </c>
      <c r="L13" s="8" t="str">
        <f>HYPERLINK("http://slimages.macys.com/is/image/MCY/10155687 ")</f>
        <v xml:space="preserve">http://slimages.macys.com/is/image/MCY/10155687 </v>
      </c>
    </row>
    <row r="14" spans="1:12" ht="30" customHeight="1" x14ac:dyDescent="0.25">
      <c r="A14" s="5" t="s">
        <v>1386</v>
      </c>
      <c r="B14" s="2" t="s">
        <v>1387</v>
      </c>
      <c r="C14" s="3">
        <v>2</v>
      </c>
      <c r="D14" s="6">
        <v>69.989999999999995</v>
      </c>
      <c r="E14" s="3" t="s">
        <v>1119</v>
      </c>
      <c r="F14" s="2" t="s">
        <v>2849</v>
      </c>
      <c r="G14" s="7"/>
      <c r="H14" s="2" t="s">
        <v>2473</v>
      </c>
      <c r="I14" s="2" t="s">
        <v>2474</v>
      </c>
      <c r="J14" s="2" t="s">
        <v>2361</v>
      </c>
      <c r="K14" s="2"/>
      <c r="L14" s="8" t="str">
        <f>HYPERLINK("http://slimages.macys.com/is/image/MCY/9965724 ")</f>
        <v xml:space="preserve">http://slimages.macys.com/is/image/MCY/9965724 </v>
      </c>
    </row>
    <row r="15" spans="1:12" ht="30" customHeight="1" x14ac:dyDescent="0.25">
      <c r="A15" s="5" t="s">
        <v>1388</v>
      </c>
      <c r="B15" s="2" t="s">
        <v>1389</v>
      </c>
      <c r="C15" s="3">
        <v>1</v>
      </c>
      <c r="D15" s="6">
        <v>69.989999999999995</v>
      </c>
      <c r="E15" s="3" t="s">
        <v>1390</v>
      </c>
      <c r="F15" s="2" t="s">
        <v>2440</v>
      </c>
      <c r="G15" s="7"/>
      <c r="H15" s="2" t="s">
        <v>2359</v>
      </c>
      <c r="I15" s="2" t="s">
        <v>2406</v>
      </c>
      <c r="J15" s="2" t="s">
        <v>2361</v>
      </c>
      <c r="K15" s="2" t="s">
        <v>1391</v>
      </c>
      <c r="L15" s="8" t="str">
        <f>HYPERLINK("http://slimages.macys.com/is/image/MCY/9492555 ")</f>
        <v xml:space="preserve">http://slimages.macys.com/is/image/MCY/9492555 </v>
      </c>
    </row>
    <row r="16" spans="1:12" ht="30" customHeight="1" x14ac:dyDescent="0.25">
      <c r="A16" s="5" t="s">
        <v>1392</v>
      </c>
      <c r="B16" s="2" t="s">
        <v>1393</v>
      </c>
      <c r="C16" s="3">
        <v>1</v>
      </c>
      <c r="D16" s="6">
        <v>57.99</v>
      </c>
      <c r="E16" s="3" t="s">
        <v>1394</v>
      </c>
      <c r="F16" s="2" t="s">
        <v>2605</v>
      </c>
      <c r="G16" s="7"/>
      <c r="H16" s="2" t="s">
        <v>2359</v>
      </c>
      <c r="I16" s="2" t="s">
        <v>2383</v>
      </c>
      <c r="J16" s="2" t="s">
        <v>2361</v>
      </c>
      <c r="K16" s="2" t="s">
        <v>2377</v>
      </c>
      <c r="L16" s="8" t="str">
        <f>HYPERLINK("http://slimages.macys.com/is/image/MCY/10290998 ")</f>
        <v xml:space="preserve">http://slimages.macys.com/is/image/MCY/10290998 </v>
      </c>
    </row>
    <row r="17" spans="1:12" ht="30" customHeight="1" x14ac:dyDescent="0.25">
      <c r="A17" s="5" t="s">
        <v>1395</v>
      </c>
      <c r="B17" s="2" t="s">
        <v>1396</v>
      </c>
      <c r="C17" s="3">
        <v>1</v>
      </c>
      <c r="D17" s="6">
        <v>39.99</v>
      </c>
      <c r="E17" s="3">
        <v>1000112210</v>
      </c>
      <c r="F17" s="2" t="s">
        <v>2366</v>
      </c>
      <c r="G17" s="7" t="s">
        <v>2518</v>
      </c>
      <c r="H17" s="2" t="s">
        <v>2368</v>
      </c>
      <c r="I17" s="2" t="s">
        <v>1113</v>
      </c>
      <c r="J17" s="2" t="s">
        <v>2361</v>
      </c>
      <c r="K17" s="2"/>
      <c r="L17" s="8" t="str">
        <f>HYPERLINK("http://slimages.macys.com/is/image/MCY/9220468 ")</f>
        <v xml:space="preserve">http://slimages.macys.com/is/image/MCY/9220468 </v>
      </c>
    </row>
    <row r="18" spans="1:12" ht="30" customHeight="1" x14ac:dyDescent="0.25">
      <c r="A18" s="5" t="s">
        <v>1397</v>
      </c>
      <c r="B18" s="2" t="s">
        <v>1398</v>
      </c>
      <c r="C18" s="3">
        <v>2</v>
      </c>
      <c r="D18" s="6">
        <v>35.99</v>
      </c>
      <c r="E18" s="3" t="s">
        <v>1399</v>
      </c>
      <c r="F18" s="2" t="s">
        <v>1400</v>
      </c>
      <c r="G18" s="7"/>
      <c r="H18" s="2" t="s">
        <v>2419</v>
      </c>
      <c r="I18" s="2" t="s">
        <v>2406</v>
      </c>
      <c r="J18" s="2" t="s">
        <v>2361</v>
      </c>
      <c r="K18" s="2" t="s">
        <v>1279</v>
      </c>
      <c r="L18" s="8" t="str">
        <f>HYPERLINK("http://slimages.macys.com/is/image/MCY/9310361 ")</f>
        <v xml:space="preserve">http://slimages.macys.com/is/image/MCY/9310361 </v>
      </c>
    </row>
    <row r="19" spans="1:12" ht="30" customHeight="1" x14ac:dyDescent="0.25">
      <c r="A19" s="5" t="s">
        <v>1401</v>
      </c>
      <c r="B19" s="2" t="s">
        <v>1402</v>
      </c>
      <c r="C19" s="3">
        <v>1</v>
      </c>
      <c r="D19" s="6">
        <v>34.99</v>
      </c>
      <c r="E19" s="3" t="s">
        <v>1403</v>
      </c>
      <c r="F19" s="2" t="s">
        <v>2381</v>
      </c>
      <c r="G19" s="7"/>
      <c r="H19" s="2" t="s">
        <v>2419</v>
      </c>
      <c r="I19" s="2" t="s">
        <v>2406</v>
      </c>
      <c r="J19" s="2" t="s">
        <v>2361</v>
      </c>
      <c r="K19" s="2"/>
      <c r="L19" s="8" t="str">
        <f>HYPERLINK("http://slimages.macys.com/is/image/MCY/16421124 ")</f>
        <v xml:space="preserve">http://slimages.macys.com/is/image/MCY/16421124 </v>
      </c>
    </row>
    <row r="20" spans="1:12" ht="30" customHeight="1" x14ac:dyDescent="0.25">
      <c r="A20" s="5" t="s">
        <v>1404</v>
      </c>
      <c r="B20" s="2" t="s">
        <v>1405</v>
      </c>
      <c r="C20" s="3">
        <v>4</v>
      </c>
      <c r="D20" s="6">
        <v>37.99</v>
      </c>
      <c r="E20" s="3" t="s">
        <v>1406</v>
      </c>
      <c r="F20" s="2" t="s">
        <v>2536</v>
      </c>
      <c r="G20" s="7"/>
      <c r="H20" s="2" t="s">
        <v>2419</v>
      </c>
      <c r="I20" s="2" t="s">
        <v>1407</v>
      </c>
      <c r="J20" s="2" t="s">
        <v>2361</v>
      </c>
      <c r="K20" s="2" t="s">
        <v>2377</v>
      </c>
      <c r="L20" s="8" t="str">
        <f>HYPERLINK("http://slimages.macys.com/is/image/MCY/15049330 ")</f>
        <v xml:space="preserve">http://slimages.macys.com/is/image/MCY/15049330 </v>
      </c>
    </row>
    <row r="21" spans="1:12" ht="30" customHeight="1" x14ac:dyDescent="0.25">
      <c r="A21" s="5" t="s">
        <v>3223</v>
      </c>
      <c r="B21" s="2" t="s">
        <v>3224</v>
      </c>
      <c r="C21" s="3">
        <v>1</v>
      </c>
      <c r="D21" s="6">
        <v>29.99</v>
      </c>
      <c r="E21" s="3">
        <v>1001810800</v>
      </c>
      <c r="F21" s="2" t="s">
        <v>2366</v>
      </c>
      <c r="G21" s="7"/>
      <c r="H21" s="2" t="s">
        <v>2815</v>
      </c>
      <c r="I21" s="2" t="s">
        <v>3210</v>
      </c>
      <c r="J21" s="2" t="s">
        <v>2789</v>
      </c>
      <c r="K21" s="2" t="s">
        <v>2377</v>
      </c>
      <c r="L21" s="8" t="str">
        <f>HYPERLINK("http://slimages.macys.com/is/image/MCY/9257533 ")</f>
        <v xml:space="preserve">http://slimages.macys.com/is/image/MCY/9257533 </v>
      </c>
    </row>
    <row r="22" spans="1:12" ht="30" customHeight="1" x14ac:dyDescent="0.25">
      <c r="A22" s="5" t="s">
        <v>2870</v>
      </c>
      <c r="B22" s="2" t="s">
        <v>2871</v>
      </c>
      <c r="C22" s="3">
        <v>2</v>
      </c>
      <c r="D22" s="6">
        <v>24.99</v>
      </c>
      <c r="E22" s="3" t="s">
        <v>2872</v>
      </c>
      <c r="F22" s="2" t="s">
        <v>2381</v>
      </c>
      <c r="G22" s="7"/>
      <c r="H22" s="2" t="s">
        <v>2419</v>
      </c>
      <c r="I22" s="2" t="s">
        <v>2406</v>
      </c>
      <c r="J22" s="2" t="s">
        <v>2361</v>
      </c>
      <c r="K22" s="2"/>
      <c r="L22" s="8" t="str">
        <f>HYPERLINK("http://slimages.macys.com/is/image/MCY/10010840 ")</f>
        <v xml:space="preserve">http://slimages.macys.com/is/image/MCY/10010840 </v>
      </c>
    </row>
    <row r="23" spans="1:12" ht="30" customHeight="1" x14ac:dyDescent="0.25">
      <c r="A23" s="5" t="s">
        <v>1408</v>
      </c>
      <c r="B23" s="2" t="s">
        <v>1409</v>
      </c>
      <c r="C23" s="3">
        <v>1</v>
      </c>
      <c r="D23" s="6">
        <v>27.99</v>
      </c>
      <c r="E23" s="3" t="s">
        <v>1410</v>
      </c>
      <c r="F23" s="2" t="s">
        <v>1400</v>
      </c>
      <c r="G23" s="7"/>
      <c r="H23" s="2" t="s">
        <v>2419</v>
      </c>
      <c r="I23" s="2" t="s">
        <v>2406</v>
      </c>
      <c r="J23" s="2" t="s">
        <v>2361</v>
      </c>
      <c r="K23" s="2" t="s">
        <v>1411</v>
      </c>
      <c r="L23" s="8" t="str">
        <f>HYPERLINK("http://slimages.macys.com/is/image/MCY/9534578 ")</f>
        <v xml:space="preserve">http://slimages.macys.com/is/image/MCY/9534578 </v>
      </c>
    </row>
    <row r="24" spans="1:12" ht="30" customHeight="1" x14ac:dyDescent="0.25">
      <c r="A24" s="5" t="s">
        <v>1412</v>
      </c>
      <c r="B24" s="2" t="s">
        <v>1413</v>
      </c>
      <c r="C24" s="3">
        <v>2</v>
      </c>
      <c r="D24" s="6">
        <v>19.989999999999998</v>
      </c>
      <c r="E24" s="3" t="s">
        <v>1414</v>
      </c>
      <c r="F24" s="2" t="s">
        <v>2536</v>
      </c>
      <c r="G24" s="7" t="s">
        <v>2518</v>
      </c>
      <c r="H24" s="2" t="s">
        <v>2419</v>
      </c>
      <c r="I24" s="2" t="s">
        <v>2406</v>
      </c>
      <c r="J24" s="2" t="s">
        <v>2361</v>
      </c>
      <c r="K24" s="2" t="s">
        <v>1290</v>
      </c>
      <c r="L24" s="8" t="str">
        <f>HYPERLINK("http://slimages.macys.com/is/image/MCY/9613896 ")</f>
        <v xml:space="preserve">http://slimages.macys.com/is/image/MCY/9613896 </v>
      </c>
    </row>
    <row r="25" spans="1:12" ht="30" customHeight="1" x14ac:dyDescent="0.25">
      <c r="A25" s="5" t="s">
        <v>1415</v>
      </c>
      <c r="B25" s="2" t="s">
        <v>1416</v>
      </c>
      <c r="C25" s="3">
        <v>2</v>
      </c>
      <c r="D25" s="6">
        <v>24.99</v>
      </c>
      <c r="E25" s="3">
        <v>1002668000</v>
      </c>
      <c r="F25" s="2" t="s">
        <v>2440</v>
      </c>
      <c r="G25" s="7" t="s">
        <v>1417</v>
      </c>
      <c r="H25" s="2" t="s">
        <v>2815</v>
      </c>
      <c r="I25" s="2" t="s">
        <v>1418</v>
      </c>
      <c r="J25" s="2" t="s">
        <v>2361</v>
      </c>
      <c r="K25" s="2" t="s">
        <v>2377</v>
      </c>
      <c r="L25" s="8" t="str">
        <f>HYPERLINK("http://slimages.macys.com/is/image/MCY/9972807 ")</f>
        <v xml:space="preserve">http://slimages.macys.com/is/image/MCY/9972807 </v>
      </c>
    </row>
    <row r="26" spans="1:12" ht="30" customHeight="1" x14ac:dyDescent="0.25">
      <c r="A26" s="5" t="s">
        <v>1419</v>
      </c>
      <c r="B26" s="2" t="s">
        <v>1420</v>
      </c>
      <c r="C26" s="3">
        <v>1</v>
      </c>
      <c r="D26" s="6">
        <v>22.99</v>
      </c>
      <c r="E26" s="3" t="s">
        <v>1421</v>
      </c>
      <c r="F26" s="2" t="s">
        <v>2622</v>
      </c>
      <c r="G26" s="7"/>
      <c r="H26" s="2" t="s">
        <v>2419</v>
      </c>
      <c r="I26" s="2" t="s">
        <v>2406</v>
      </c>
      <c r="J26" s="2" t="s">
        <v>2361</v>
      </c>
      <c r="K26" s="2" t="s">
        <v>1313</v>
      </c>
      <c r="L26" s="8" t="str">
        <f>HYPERLINK("http://slimages.macys.com/is/image/MCY/9607112 ")</f>
        <v xml:space="preserve">http://slimages.macys.com/is/image/MCY/9607112 </v>
      </c>
    </row>
    <row r="27" spans="1:12" ht="30" customHeight="1" x14ac:dyDescent="0.25">
      <c r="A27" s="5" t="s">
        <v>1422</v>
      </c>
      <c r="B27" s="2" t="s">
        <v>1423</v>
      </c>
      <c r="C27" s="3">
        <v>2</v>
      </c>
      <c r="D27" s="6">
        <v>19.989999999999998</v>
      </c>
      <c r="E27" s="3" t="s">
        <v>1424</v>
      </c>
      <c r="F27" s="2" t="s">
        <v>2374</v>
      </c>
      <c r="G27" s="7" t="s">
        <v>2382</v>
      </c>
      <c r="H27" s="2" t="s">
        <v>2459</v>
      </c>
      <c r="I27" s="2" t="s">
        <v>1425</v>
      </c>
      <c r="J27" s="2" t="s">
        <v>2361</v>
      </c>
      <c r="K27" s="2" t="s">
        <v>1426</v>
      </c>
      <c r="L27" s="8" t="str">
        <f>HYPERLINK("http://slimages.macys.com/is/image/MCY/2936898 ")</f>
        <v xml:space="preserve">http://slimages.macys.com/is/image/MCY/2936898 </v>
      </c>
    </row>
    <row r="28" spans="1:12" ht="30" customHeight="1" x14ac:dyDescent="0.25">
      <c r="A28" s="5" t="s">
        <v>1427</v>
      </c>
      <c r="B28" s="2" t="s">
        <v>1428</v>
      </c>
      <c r="C28" s="3">
        <v>1</v>
      </c>
      <c r="D28" s="6">
        <v>26.99</v>
      </c>
      <c r="E28" s="3" t="s">
        <v>1429</v>
      </c>
      <c r="F28" s="2" t="s">
        <v>2381</v>
      </c>
      <c r="G28" s="7"/>
      <c r="H28" s="2" t="s">
        <v>2359</v>
      </c>
      <c r="I28" s="2" t="s">
        <v>2406</v>
      </c>
      <c r="J28" s="2" t="s">
        <v>2361</v>
      </c>
      <c r="K28" s="2" t="s">
        <v>1430</v>
      </c>
      <c r="L28" s="8" t="str">
        <f>HYPERLINK("http://slimages.macys.com/is/image/MCY/9767691 ")</f>
        <v xml:space="preserve">http://slimages.macys.com/is/image/MCY/9767691 </v>
      </c>
    </row>
    <row r="29" spans="1:12" ht="30" customHeight="1" x14ac:dyDescent="0.25">
      <c r="A29" s="5" t="s">
        <v>1326</v>
      </c>
      <c r="B29" s="2" t="s">
        <v>1327</v>
      </c>
      <c r="C29" s="3">
        <v>1</v>
      </c>
      <c r="D29" s="6">
        <v>24.99</v>
      </c>
      <c r="E29" s="3" t="s">
        <v>1328</v>
      </c>
      <c r="F29" s="2" t="s">
        <v>2381</v>
      </c>
      <c r="G29" s="7"/>
      <c r="H29" s="2" t="s">
        <v>2419</v>
      </c>
      <c r="I29" s="2" t="s">
        <v>1060</v>
      </c>
      <c r="J29" s="2" t="s">
        <v>2361</v>
      </c>
      <c r="K29" s="2" t="s">
        <v>2397</v>
      </c>
      <c r="L29" s="8" t="str">
        <f>HYPERLINK("http://slimages.macys.com/is/image/MCY/3250787 ")</f>
        <v xml:space="preserve">http://slimages.macys.com/is/image/MCY/3250787 </v>
      </c>
    </row>
    <row r="30" spans="1:12" ht="30" customHeight="1" x14ac:dyDescent="0.25">
      <c r="A30" s="5" t="s">
        <v>1431</v>
      </c>
      <c r="B30" s="2" t="s">
        <v>1432</v>
      </c>
      <c r="C30" s="3">
        <v>1</v>
      </c>
      <c r="D30" s="6">
        <v>16.989999999999998</v>
      </c>
      <c r="E30" s="3" t="s">
        <v>1433</v>
      </c>
      <c r="F30" s="2" t="s">
        <v>2953</v>
      </c>
      <c r="G30" s="7"/>
      <c r="H30" s="2" t="s">
        <v>2459</v>
      </c>
      <c r="I30" s="2" t="s">
        <v>2547</v>
      </c>
      <c r="J30" s="2" t="s">
        <v>2361</v>
      </c>
      <c r="K30" s="2" t="s">
        <v>1434</v>
      </c>
      <c r="L30" s="8" t="str">
        <f>HYPERLINK("http://slimages.macys.com/is/image/MCY/10983570 ")</f>
        <v xml:space="preserve">http://slimages.macys.com/is/image/MCY/10983570 </v>
      </c>
    </row>
    <row r="31" spans="1:12" ht="30" customHeight="1" x14ac:dyDescent="0.25">
      <c r="A31" s="5" t="s">
        <v>2715</v>
      </c>
      <c r="B31" s="2" t="s">
        <v>2716</v>
      </c>
      <c r="C31" s="3">
        <v>4</v>
      </c>
      <c r="D31" s="6">
        <v>14.99</v>
      </c>
      <c r="E31" s="3">
        <v>56302</v>
      </c>
      <c r="F31" s="2" t="s">
        <v>2458</v>
      </c>
      <c r="G31" s="7"/>
      <c r="H31" s="2" t="s">
        <v>2419</v>
      </c>
      <c r="I31" s="2" t="s">
        <v>2697</v>
      </c>
      <c r="J31" s="2" t="s">
        <v>2361</v>
      </c>
      <c r="K31" s="2"/>
      <c r="L31" s="8" t="str">
        <f>HYPERLINK("http://slimages.macys.com/is/image/MCY/9644198 ")</f>
        <v xml:space="preserve">http://slimages.macys.com/is/image/MCY/9644198 </v>
      </c>
    </row>
    <row r="32" spans="1:12" ht="30" customHeight="1" x14ac:dyDescent="0.25">
      <c r="A32" s="5" t="s">
        <v>1435</v>
      </c>
      <c r="B32" s="2" t="s">
        <v>1436</v>
      </c>
      <c r="C32" s="3">
        <v>4</v>
      </c>
      <c r="D32" s="6">
        <v>14.99</v>
      </c>
      <c r="E32" s="3" t="s">
        <v>1437</v>
      </c>
      <c r="F32" s="2" t="s">
        <v>2358</v>
      </c>
      <c r="G32" s="7" t="s">
        <v>1438</v>
      </c>
      <c r="H32" s="2" t="s">
        <v>2537</v>
      </c>
      <c r="I32" s="2" t="s">
        <v>3353</v>
      </c>
      <c r="J32" s="2" t="s">
        <v>2361</v>
      </c>
      <c r="K32" s="2"/>
      <c r="L32" s="8" t="str">
        <f>HYPERLINK("http://slimages.macys.com/is/image/MCY/10155687 ")</f>
        <v xml:space="preserve">http://slimages.macys.com/is/image/MCY/10155687 </v>
      </c>
    </row>
    <row r="33" spans="1:12" ht="30" customHeight="1" x14ac:dyDescent="0.25">
      <c r="A33" s="5" t="s">
        <v>1439</v>
      </c>
      <c r="B33" s="2" t="s">
        <v>1440</v>
      </c>
      <c r="C33" s="3">
        <v>1</v>
      </c>
      <c r="D33" s="6">
        <v>12.99</v>
      </c>
      <c r="E33" s="3" t="s">
        <v>1441</v>
      </c>
      <c r="F33" s="2" t="s">
        <v>2640</v>
      </c>
      <c r="G33" s="7" t="s">
        <v>2546</v>
      </c>
      <c r="H33" s="2" t="s">
        <v>2446</v>
      </c>
      <c r="I33" s="2" t="s">
        <v>1442</v>
      </c>
      <c r="J33" s="2" t="s">
        <v>2361</v>
      </c>
      <c r="K33" s="2" t="s">
        <v>2508</v>
      </c>
      <c r="L33" s="8" t="str">
        <f>HYPERLINK("http://slimages.macys.com/is/image/MCY/9179373 ")</f>
        <v xml:space="preserve">http://slimages.macys.com/is/image/MCY/9179373 </v>
      </c>
    </row>
    <row r="34" spans="1:12" ht="30" customHeight="1" x14ac:dyDescent="0.25">
      <c r="A34" s="5" t="s">
        <v>3278</v>
      </c>
      <c r="B34" s="2" t="s">
        <v>3279</v>
      </c>
      <c r="C34" s="3">
        <v>1</v>
      </c>
      <c r="D34" s="6">
        <v>14.99</v>
      </c>
      <c r="E34" s="3">
        <v>1002362000</v>
      </c>
      <c r="F34" s="2" t="s">
        <v>2366</v>
      </c>
      <c r="G34" s="7" t="s">
        <v>3280</v>
      </c>
      <c r="H34" s="2" t="s">
        <v>2815</v>
      </c>
      <c r="I34" s="2" t="s">
        <v>3210</v>
      </c>
      <c r="J34" s="2" t="s">
        <v>2789</v>
      </c>
      <c r="K34" s="2" t="s">
        <v>2377</v>
      </c>
      <c r="L34" s="8" t="str">
        <f>HYPERLINK("http://slimages.macys.com/is/image/MCY/9257533 ")</f>
        <v xml:space="preserve">http://slimages.macys.com/is/image/MCY/9257533 </v>
      </c>
    </row>
    <row r="35" spans="1:12" ht="30" customHeight="1" x14ac:dyDescent="0.25">
      <c r="A35" s="5" t="s">
        <v>1443</v>
      </c>
      <c r="B35" s="2" t="s">
        <v>1444</v>
      </c>
      <c r="C35" s="3">
        <v>3</v>
      </c>
      <c r="D35" s="6">
        <v>16.989999999999998</v>
      </c>
      <c r="E35" s="3" t="s">
        <v>1445</v>
      </c>
      <c r="F35" s="2" t="s">
        <v>2366</v>
      </c>
      <c r="G35" s="7"/>
      <c r="H35" s="2" t="s">
        <v>2419</v>
      </c>
      <c r="I35" s="2" t="s">
        <v>1446</v>
      </c>
      <c r="J35" s="2" t="s">
        <v>2361</v>
      </c>
      <c r="K35" s="2" t="s">
        <v>1447</v>
      </c>
      <c r="L35" s="8" t="str">
        <f>HYPERLINK("http://slimages.macys.com/is/image/MCY/11461601 ")</f>
        <v xml:space="preserve">http://slimages.macys.com/is/image/MCY/11461601 </v>
      </c>
    </row>
    <row r="36" spans="1:12" ht="30" customHeight="1" x14ac:dyDescent="0.25">
      <c r="A36" s="5" t="s">
        <v>1448</v>
      </c>
      <c r="B36" s="2" t="s">
        <v>1449</v>
      </c>
      <c r="C36" s="3">
        <v>1</v>
      </c>
      <c r="D36" s="6">
        <v>14.99</v>
      </c>
      <c r="E36" s="3">
        <v>20045</v>
      </c>
      <c r="F36" s="2" t="s">
        <v>2374</v>
      </c>
      <c r="G36" s="7"/>
      <c r="H36" s="2" t="s">
        <v>2412</v>
      </c>
      <c r="I36" s="2" t="s">
        <v>2823</v>
      </c>
      <c r="J36" s="2" t="s">
        <v>2361</v>
      </c>
      <c r="K36" s="2" t="s">
        <v>1450</v>
      </c>
      <c r="L36" s="8" t="str">
        <f>HYPERLINK("http://slimages.macys.com/is/image/MCY/11531693 ")</f>
        <v xml:space="preserve">http://slimages.macys.com/is/image/MCY/11531693 </v>
      </c>
    </row>
    <row r="37" spans="1:12" ht="30" customHeight="1" x14ac:dyDescent="0.25">
      <c r="A37" s="5" t="s">
        <v>2918</v>
      </c>
      <c r="B37" s="2" t="s">
        <v>2919</v>
      </c>
      <c r="C37" s="3">
        <v>1</v>
      </c>
      <c r="D37" s="6">
        <v>24.99</v>
      </c>
      <c r="E37" s="3" t="s">
        <v>2920</v>
      </c>
      <c r="F37" s="2" t="s">
        <v>2374</v>
      </c>
      <c r="G37" s="7"/>
      <c r="H37" s="2" t="s">
        <v>2412</v>
      </c>
      <c r="I37" s="2" t="s">
        <v>2701</v>
      </c>
      <c r="J37" s="2" t="s">
        <v>2361</v>
      </c>
      <c r="K37" s="2"/>
      <c r="L37" s="8" t="str">
        <f>HYPERLINK("http://slimages.macys.com/is/image/MCY/13285715 ")</f>
        <v xml:space="preserve">http://slimages.macys.com/is/image/MCY/13285715 </v>
      </c>
    </row>
    <row r="38" spans="1:12" ht="30" customHeight="1" x14ac:dyDescent="0.25">
      <c r="A38" s="5" t="s">
        <v>1451</v>
      </c>
      <c r="B38" s="2" t="s">
        <v>1452</v>
      </c>
      <c r="C38" s="3">
        <v>1</v>
      </c>
      <c r="D38" s="6">
        <v>14.99</v>
      </c>
      <c r="E38" s="3" t="s">
        <v>1453</v>
      </c>
      <c r="F38" s="2" t="s">
        <v>1400</v>
      </c>
      <c r="G38" s="7" t="s">
        <v>2531</v>
      </c>
      <c r="H38" s="2" t="s">
        <v>2532</v>
      </c>
      <c r="I38" s="2" t="s">
        <v>2369</v>
      </c>
      <c r="J38" s="2" t="s">
        <v>2361</v>
      </c>
      <c r="K38" s="2" t="s">
        <v>3486</v>
      </c>
      <c r="L38" s="8" t="str">
        <f>HYPERLINK("http://slimages.macys.com/is/image/MCY/11946722 ")</f>
        <v xml:space="preserve">http://slimages.macys.com/is/image/MCY/11946722 </v>
      </c>
    </row>
    <row r="39" spans="1:12" ht="30" customHeight="1" x14ac:dyDescent="0.25">
      <c r="A39" s="5" t="s">
        <v>1454</v>
      </c>
      <c r="B39" s="2" t="s">
        <v>1455</v>
      </c>
      <c r="C39" s="3">
        <v>2</v>
      </c>
      <c r="D39" s="6">
        <v>14.99</v>
      </c>
      <c r="E39" s="3" t="s">
        <v>1456</v>
      </c>
      <c r="F39" s="2" t="s">
        <v>2458</v>
      </c>
      <c r="G39" s="7"/>
      <c r="H39" s="2" t="s">
        <v>2419</v>
      </c>
      <c r="I39" s="2" t="s">
        <v>1446</v>
      </c>
      <c r="J39" s="2" t="s">
        <v>2361</v>
      </c>
      <c r="K39" s="2" t="s">
        <v>1447</v>
      </c>
      <c r="L39" s="8" t="str">
        <f>HYPERLINK("http://slimages.macys.com/is/image/MCY/11461583 ")</f>
        <v xml:space="preserve">http://slimages.macys.com/is/image/MCY/11461583 </v>
      </c>
    </row>
    <row r="40" spans="1:12" ht="30" customHeight="1" x14ac:dyDescent="0.25">
      <c r="A40" s="5" t="s">
        <v>1457</v>
      </c>
      <c r="B40" s="2" t="s">
        <v>1458</v>
      </c>
      <c r="C40" s="3">
        <v>3</v>
      </c>
      <c r="D40" s="6">
        <v>12.99</v>
      </c>
      <c r="E40" s="3" t="s">
        <v>1459</v>
      </c>
      <c r="F40" s="2" t="s">
        <v>2793</v>
      </c>
      <c r="G40" s="7" t="s">
        <v>3256</v>
      </c>
      <c r="H40" s="2" t="s">
        <v>2459</v>
      </c>
      <c r="I40" s="2" t="s">
        <v>3239</v>
      </c>
      <c r="J40" s="2" t="s">
        <v>2361</v>
      </c>
      <c r="K40" s="2" t="s">
        <v>2831</v>
      </c>
      <c r="L40" s="8" t="str">
        <f>HYPERLINK("http://slimages.macys.com/is/image/MCY/14520418 ")</f>
        <v xml:space="preserve">http://slimages.macys.com/is/image/MCY/14520418 </v>
      </c>
    </row>
    <row r="41" spans="1:12" ht="30" customHeight="1" x14ac:dyDescent="0.25">
      <c r="A41" s="5" t="s">
        <v>1460</v>
      </c>
      <c r="B41" s="2" t="s">
        <v>1461</v>
      </c>
      <c r="C41" s="3">
        <v>1</v>
      </c>
      <c r="D41" s="6">
        <v>45.99</v>
      </c>
      <c r="E41" s="3" t="s">
        <v>1462</v>
      </c>
      <c r="F41" s="2" t="s">
        <v>2953</v>
      </c>
      <c r="G41" s="7"/>
      <c r="H41" s="2" t="s">
        <v>2537</v>
      </c>
      <c r="I41" s="2" t="s">
        <v>3353</v>
      </c>
      <c r="J41" s="2"/>
      <c r="K41" s="2"/>
      <c r="L41" s="8"/>
    </row>
    <row r="42" spans="1:12" ht="30" customHeight="1" x14ac:dyDescent="0.25">
      <c r="A42" s="5" t="s">
        <v>1463</v>
      </c>
      <c r="B42" s="2" t="s">
        <v>1464</v>
      </c>
      <c r="C42" s="3">
        <v>1</v>
      </c>
      <c r="D42" s="6">
        <v>45.99</v>
      </c>
      <c r="E42" s="3" t="s">
        <v>1465</v>
      </c>
      <c r="F42" s="2" t="s">
        <v>2953</v>
      </c>
      <c r="G42" s="7"/>
      <c r="H42" s="2" t="s">
        <v>2537</v>
      </c>
      <c r="I42" s="2" t="s">
        <v>3353</v>
      </c>
      <c r="J42" s="2"/>
      <c r="K42" s="2"/>
      <c r="L42" s="8"/>
    </row>
    <row r="43" spans="1:12" ht="30" customHeight="1" x14ac:dyDescent="0.25">
      <c r="A43" s="5" t="s">
        <v>1466</v>
      </c>
      <c r="B43" s="2" t="s">
        <v>1467</v>
      </c>
      <c r="C43" s="3">
        <v>1</v>
      </c>
      <c r="D43" s="6">
        <v>45.99</v>
      </c>
      <c r="E43" s="3" t="s">
        <v>1468</v>
      </c>
      <c r="F43" s="2" t="s">
        <v>2953</v>
      </c>
      <c r="G43" s="7"/>
      <c r="H43" s="2" t="s">
        <v>2537</v>
      </c>
      <c r="I43" s="2" t="s">
        <v>3353</v>
      </c>
      <c r="J43" s="2"/>
      <c r="K43" s="2"/>
      <c r="L43" s="8"/>
    </row>
    <row r="44" spans="1:12" ht="30" customHeight="1" x14ac:dyDescent="0.25">
      <c r="A44" s="5" t="s">
        <v>1469</v>
      </c>
      <c r="B44" s="2" t="s">
        <v>1470</v>
      </c>
      <c r="C44" s="3">
        <v>1</v>
      </c>
      <c r="D44" s="6">
        <v>14.99</v>
      </c>
      <c r="E44" s="3" t="s">
        <v>1471</v>
      </c>
      <c r="F44" s="2" t="s">
        <v>2374</v>
      </c>
      <c r="G44" s="7"/>
      <c r="H44" s="2" t="s">
        <v>2459</v>
      </c>
      <c r="I44" s="2" t="s">
        <v>1472</v>
      </c>
      <c r="J44" s="2"/>
      <c r="K44" s="2"/>
      <c r="L44" s="8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O5" sqref="O5"/>
    </sheetView>
  </sheetViews>
  <sheetFormatPr defaultRowHeight="30" customHeight="1" x14ac:dyDescent="0.25"/>
  <cols>
    <col min="2" max="2" width="17.42578125" bestFit="1" customWidth="1"/>
    <col min="5" max="5" width="12" bestFit="1" customWidth="1"/>
    <col min="6" max="6" width="8.85546875" bestFit="1" customWidth="1"/>
    <col min="7" max="7" width="9" bestFit="1" customWidth="1"/>
    <col min="8" max="8" width="10.7109375" bestFit="1" customWidth="1"/>
    <col min="9" max="9" width="22.140625" bestFit="1" customWidth="1"/>
    <col min="11" max="11" width="43.42578125" bestFit="1" customWidth="1"/>
    <col min="12" max="12" width="22.42578125" bestFit="1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1473</v>
      </c>
      <c r="B2" s="2" t="s">
        <v>1474</v>
      </c>
      <c r="C2" s="3">
        <v>1</v>
      </c>
      <c r="D2" s="6">
        <v>282.99</v>
      </c>
      <c r="E2" s="3" t="s">
        <v>1475</v>
      </c>
      <c r="F2" s="2" t="s">
        <v>2536</v>
      </c>
      <c r="G2" s="7"/>
      <c r="H2" s="2" t="s">
        <v>2359</v>
      </c>
      <c r="I2" s="2" t="s">
        <v>1488</v>
      </c>
      <c r="J2" s="2" t="s">
        <v>2361</v>
      </c>
      <c r="K2" s="2" t="s">
        <v>3471</v>
      </c>
      <c r="L2" s="8" t="str">
        <f>HYPERLINK("http://slimages.macys.com/is/image/MCY/13046371 ")</f>
        <v xml:space="preserve">http://slimages.macys.com/is/image/MCY/13046371 </v>
      </c>
    </row>
    <row r="3" spans="1:12" ht="30" customHeight="1" x14ac:dyDescent="0.25">
      <c r="A3" s="5" t="s">
        <v>1476</v>
      </c>
      <c r="B3" s="2" t="s">
        <v>1477</v>
      </c>
      <c r="C3" s="3">
        <v>1</v>
      </c>
      <c r="D3" s="6">
        <v>199.99</v>
      </c>
      <c r="E3" s="3" t="s">
        <v>1478</v>
      </c>
      <c r="F3" s="2" t="s">
        <v>2418</v>
      </c>
      <c r="G3" s="7"/>
      <c r="H3" s="2" t="s">
        <v>2388</v>
      </c>
      <c r="I3" s="2" t="s">
        <v>2425</v>
      </c>
      <c r="J3" s="2" t="s">
        <v>2361</v>
      </c>
      <c r="K3" s="2" t="s">
        <v>1492</v>
      </c>
      <c r="L3" s="8" t="str">
        <f>HYPERLINK("http://slimages.macys.com/is/image/MCY/2805546 ")</f>
        <v xml:space="preserve">http://slimages.macys.com/is/image/MCY/2805546 </v>
      </c>
    </row>
    <row r="4" spans="1:12" ht="30" customHeight="1" x14ac:dyDescent="0.25">
      <c r="A4" s="5" t="s">
        <v>1479</v>
      </c>
      <c r="B4" s="2" t="s">
        <v>1480</v>
      </c>
      <c r="C4" s="3">
        <v>1</v>
      </c>
      <c r="D4" s="6">
        <v>179.99</v>
      </c>
      <c r="E4" s="3" t="s">
        <v>1481</v>
      </c>
      <c r="F4" s="2" t="s">
        <v>2622</v>
      </c>
      <c r="G4" s="7"/>
      <c r="H4" s="2" t="s">
        <v>2388</v>
      </c>
      <c r="I4" s="2" t="s">
        <v>3217</v>
      </c>
      <c r="J4" s="2" t="s">
        <v>2361</v>
      </c>
      <c r="K4" s="2" t="s">
        <v>1496</v>
      </c>
      <c r="L4" s="8" t="str">
        <f>HYPERLINK("http://slimages.macys.com/is/image/MCY/11283477 ")</f>
        <v xml:space="preserve">http://slimages.macys.com/is/image/MCY/11283477 </v>
      </c>
    </row>
    <row r="5" spans="1:12" ht="30" customHeight="1" x14ac:dyDescent="0.25">
      <c r="A5" s="5" t="s">
        <v>1482</v>
      </c>
      <c r="B5" s="2" t="s">
        <v>1483</v>
      </c>
      <c r="C5" s="3">
        <v>1</v>
      </c>
      <c r="D5" s="6">
        <v>129.99</v>
      </c>
      <c r="E5" s="3" t="s">
        <v>1484</v>
      </c>
      <c r="F5" s="2" t="s">
        <v>2424</v>
      </c>
      <c r="G5" s="7"/>
      <c r="H5" s="2" t="s">
        <v>2395</v>
      </c>
      <c r="I5" s="2" t="s">
        <v>2527</v>
      </c>
      <c r="J5" s="2" t="s">
        <v>2361</v>
      </c>
      <c r="K5" s="2"/>
      <c r="L5" s="8" t="str">
        <f>HYPERLINK("http://slimages.macys.com/is/image/MCY/14607099 ")</f>
        <v xml:space="preserve">http://slimages.macys.com/is/image/MCY/14607099 </v>
      </c>
    </row>
    <row r="6" spans="1:12" ht="30" customHeight="1" x14ac:dyDescent="0.25">
      <c r="A6" s="5" t="s">
        <v>1485</v>
      </c>
      <c r="B6" s="2" t="s">
        <v>1486</v>
      </c>
      <c r="C6" s="3">
        <v>1</v>
      </c>
      <c r="D6" s="6">
        <v>79.989999999999995</v>
      </c>
      <c r="E6" s="3" t="s">
        <v>1487</v>
      </c>
      <c r="F6" s="2" t="s">
        <v>2374</v>
      </c>
      <c r="G6" s="7" t="s">
        <v>2518</v>
      </c>
      <c r="H6" s="2" t="s">
        <v>2388</v>
      </c>
      <c r="I6" s="2" t="s">
        <v>1502</v>
      </c>
      <c r="J6" s="2" t="s">
        <v>2361</v>
      </c>
      <c r="K6" s="2"/>
      <c r="L6" s="8" t="str">
        <f>HYPERLINK("http://slimages.macys.com/is/image/MCY/9302446 ")</f>
        <v xml:space="preserve">http://slimages.macys.com/is/image/MCY/9302446 </v>
      </c>
    </row>
    <row r="7" spans="1:12" ht="30" customHeight="1" x14ac:dyDescent="0.25">
      <c r="A7" s="5" t="s">
        <v>1489</v>
      </c>
      <c r="B7" s="2" t="s">
        <v>1490</v>
      </c>
      <c r="C7" s="3">
        <v>1</v>
      </c>
      <c r="D7" s="6">
        <v>69.989999999999995</v>
      </c>
      <c r="E7" s="3" t="s">
        <v>1491</v>
      </c>
      <c r="F7" s="2" t="s">
        <v>2622</v>
      </c>
      <c r="G7" s="7"/>
      <c r="H7" s="2" t="s">
        <v>2359</v>
      </c>
      <c r="I7" s="2" t="s">
        <v>2406</v>
      </c>
      <c r="J7" s="2" t="s">
        <v>2361</v>
      </c>
      <c r="K7" s="2" t="s">
        <v>2377</v>
      </c>
      <c r="L7" s="8" t="str">
        <f>HYPERLINK("http://slimages.macys.com/is/image/MCY/9812356 ")</f>
        <v xml:space="preserve">http://slimages.macys.com/is/image/MCY/9812356 </v>
      </c>
    </row>
    <row r="8" spans="1:12" ht="30" customHeight="1" x14ac:dyDescent="0.25">
      <c r="A8" s="5" t="s">
        <v>1493</v>
      </c>
      <c r="B8" s="2" t="s">
        <v>1494</v>
      </c>
      <c r="C8" s="3">
        <v>1</v>
      </c>
      <c r="D8" s="6">
        <v>93.99</v>
      </c>
      <c r="E8" s="3" t="s">
        <v>1495</v>
      </c>
      <c r="F8" s="2" t="s">
        <v>2506</v>
      </c>
      <c r="G8" s="7"/>
      <c r="H8" s="2" t="s">
        <v>2359</v>
      </c>
      <c r="I8" s="2" t="s">
        <v>2406</v>
      </c>
      <c r="J8" s="2" t="s">
        <v>2361</v>
      </c>
      <c r="K8" s="2" t="s">
        <v>2656</v>
      </c>
      <c r="L8" s="8" t="str">
        <f>HYPERLINK("http://slimages.macys.com/is/image/MCY/11825759 ")</f>
        <v xml:space="preserve">http://slimages.macys.com/is/image/MCY/11825759 </v>
      </c>
    </row>
    <row r="9" spans="1:12" ht="30" customHeight="1" x14ac:dyDescent="0.25">
      <c r="A9" s="5" t="s">
        <v>1497</v>
      </c>
      <c r="B9" s="2" t="s">
        <v>1498</v>
      </c>
      <c r="C9" s="3">
        <v>1</v>
      </c>
      <c r="D9" s="6">
        <v>48.99</v>
      </c>
      <c r="E9" s="3" t="s">
        <v>1499</v>
      </c>
      <c r="F9" s="2" t="s">
        <v>2464</v>
      </c>
      <c r="G9" s="7" t="s">
        <v>2382</v>
      </c>
      <c r="H9" s="2" t="s">
        <v>2419</v>
      </c>
      <c r="I9" s="2" t="s">
        <v>1366</v>
      </c>
      <c r="J9" s="2" t="s">
        <v>2789</v>
      </c>
      <c r="K9" s="2" t="s">
        <v>1367</v>
      </c>
      <c r="L9" s="8" t="str">
        <f>HYPERLINK("http://slimages.macys.com/is/image/MCY/9576856 ")</f>
        <v xml:space="preserve">http://slimages.macys.com/is/image/MCY/9576856 </v>
      </c>
    </row>
    <row r="10" spans="1:12" ht="30" customHeight="1" x14ac:dyDescent="0.25">
      <c r="A10" s="5" t="s">
        <v>1500</v>
      </c>
      <c r="B10" s="2" t="s">
        <v>1501</v>
      </c>
      <c r="C10" s="3">
        <v>1</v>
      </c>
      <c r="D10" s="6">
        <v>49.99</v>
      </c>
      <c r="E10" s="3">
        <v>1003103300</v>
      </c>
      <c r="F10" s="2" t="s">
        <v>2374</v>
      </c>
      <c r="G10" s="7" t="s">
        <v>2627</v>
      </c>
      <c r="H10" s="2" t="s">
        <v>2749</v>
      </c>
      <c r="I10" s="2" t="s">
        <v>2750</v>
      </c>
      <c r="J10" s="2" t="s">
        <v>2361</v>
      </c>
      <c r="K10" s="2" t="s">
        <v>1516</v>
      </c>
      <c r="L10" s="8" t="str">
        <f>HYPERLINK("http://slimages.macys.com/is/image/MCY/10151227 ")</f>
        <v xml:space="preserve">http://slimages.macys.com/is/image/MCY/10151227 </v>
      </c>
    </row>
    <row r="11" spans="1:12" ht="30" customHeight="1" x14ac:dyDescent="0.25">
      <c r="A11" s="5" t="s">
        <v>1503</v>
      </c>
      <c r="B11" s="2" t="s">
        <v>1504</v>
      </c>
      <c r="C11" s="3">
        <v>1</v>
      </c>
      <c r="D11" s="6">
        <v>49.99</v>
      </c>
      <c r="E11" s="3" t="s">
        <v>1505</v>
      </c>
      <c r="F11" s="2" t="s">
        <v>3024</v>
      </c>
      <c r="G11" s="7"/>
      <c r="H11" s="2" t="s">
        <v>2359</v>
      </c>
      <c r="I11" s="2" t="s">
        <v>2447</v>
      </c>
      <c r="J11" s="2" t="s">
        <v>2432</v>
      </c>
      <c r="K11" s="2" t="s">
        <v>3060</v>
      </c>
      <c r="L11" s="8" t="str">
        <f>HYPERLINK("http://slimages.macys.com/is/image/MCY/12953897 ")</f>
        <v xml:space="preserve">http://slimages.macys.com/is/image/MCY/12953897 </v>
      </c>
    </row>
    <row r="12" spans="1:12" ht="30" customHeight="1" x14ac:dyDescent="0.25">
      <c r="A12" s="5" t="s">
        <v>1506</v>
      </c>
      <c r="B12" s="2" t="s">
        <v>1507</v>
      </c>
      <c r="C12" s="3">
        <v>2</v>
      </c>
      <c r="D12" s="6">
        <v>44.99</v>
      </c>
      <c r="E12" s="3" t="s">
        <v>1508</v>
      </c>
      <c r="F12" s="2" t="s">
        <v>2440</v>
      </c>
      <c r="G12" s="7" t="s">
        <v>1509</v>
      </c>
      <c r="H12" s="2" t="s">
        <v>2419</v>
      </c>
      <c r="I12" s="2" t="s">
        <v>1366</v>
      </c>
      <c r="J12" s="2" t="s">
        <v>2789</v>
      </c>
      <c r="K12" s="2" t="s">
        <v>2377</v>
      </c>
      <c r="L12" s="8" t="str">
        <f>HYPERLINK("http://slimages.macys.com/is/image/MCY/9482194 ")</f>
        <v xml:space="preserve">http://slimages.macys.com/is/image/MCY/9482194 </v>
      </c>
    </row>
    <row r="13" spans="1:12" ht="30" customHeight="1" x14ac:dyDescent="0.25">
      <c r="A13" s="5" t="s">
        <v>1510</v>
      </c>
      <c r="B13" s="2" t="s">
        <v>1511</v>
      </c>
      <c r="C13" s="3">
        <v>2</v>
      </c>
      <c r="D13" s="6">
        <v>44.99</v>
      </c>
      <c r="E13" s="3" t="s">
        <v>1512</v>
      </c>
      <c r="F13" s="2" t="s">
        <v>2366</v>
      </c>
      <c r="G13" s="7" t="s">
        <v>2382</v>
      </c>
      <c r="H13" s="2" t="s">
        <v>2419</v>
      </c>
      <c r="I13" s="2" t="s">
        <v>1366</v>
      </c>
      <c r="J13" s="2" t="s">
        <v>2789</v>
      </c>
      <c r="K13" s="2" t="s">
        <v>2377</v>
      </c>
      <c r="L13" s="8" t="str">
        <f>HYPERLINK("http://slimages.macys.com/is/image/MCY/9482196 ")</f>
        <v xml:space="preserve">http://slimages.macys.com/is/image/MCY/9482196 </v>
      </c>
    </row>
    <row r="14" spans="1:12" ht="30" customHeight="1" x14ac:dyDescent="0.25">
      <c r="A14" s="5" t="s">
        <v>1513</v>
      </c>
      <c r="B14" s="2" t="s">
        <v>1514</v>
      </c>
      <c r="C14" s="3">
        <v>1</v>
      </c>
      <c r="D14" s="6">
        <v>39.99</v>
      </c>
      <c r="E14" s="3" t="s">
        <v>1515</v>
      </c>
      <c r="F14" s="2" t="s">
        <v>1400</v>
      </c>
      <c r="G14" s="7" t="s">
        <v>3039</v>
      </c>
      <c r="H14" s="2" t="s">
        <v>2419</v>
      </c>
      <c r="I14" s="2" t="s">
        <v>2950</v>
      </c>
      <c r="J14" s="2" t="s">
        <v>2361</v>
      </c>
      <c r="K14" s="2"/>
      <c r="L14" s="8" t="str">
        <f>HYPERLINK("http://slimages.macys.com/is/image/MCY/16008352 ")</f>
        <v xml:space="preserve">http://slimages.macys.com/is/image/MCY/16008352 </v>
      </c>
    </row>
    <row r="15" spans="1:12" ht="30" customHeight="1" x14ac:dyDescent="0.25">
      <c r="A15" s="5" t="s">
        <v>1517</v>
      </c>
      <c r="B15" s="2" t="s">
        <v>1518</v>
      </c>
      <c r="C15" s="3">
        <v>1</v>
      </c>
      <c r="D15" s="6">
        <v>44.99</v>
      </c>
      <c r="E15" s="3" t="s">
        <v>1519</v>
      </c>
      <c r="F15" s="2" t="s">
        <v>2440</v>
      </c>
      <c r="G15" s="7"/>
      <c r="H15" s="2" t="s">
        <v>2419</v>
      </c>
      <c r="I15" s="2" t="s">
        <v>2406</v>
      </c>
      <c r="J15" s="2" t="s">
        <v>2361</v>
      </c>
      <c r="K15" s="2"/>
      <c r="L15" s="8" t="str">
        <f>HYPERLINK("http://slimages.macys.com/is/image/MCY/9310362 ")</f>
        <v xml:space="preserve">http://slimages.macys.com/is/image/MCY/9310362 </v>
      </c>
    </row>
    <row r="16" spans="1:12" ht="30" customHeight="1" x14ac:dyDescent="0.25">
      <c r="A16" s="5" t="s">
        <v>1520</v>
      </c>
      <c r="B16" s="2" t="s">
        <v>1521</v>
      </c>
      <c r="C16" s="3">
        <v>1</v>
      </c>
      <c r="D16" s="6">
        <v>49.99</v>
      </c>
      <c r="E16" s="3" t="s">
        <v>1522</v>
      </c>
      <c r="F16" s="2" t="s">
        <v>2358</v>
      </c>
      <c r="G16" s="7"/>
      <c r="H16" s="2" t="s">
        <v>2473</v>
      </c>
      <c r="I16" s="2" t="s">
        <v>1529</v>
      </c>
      <c r="J16" s="2" t="s">
        <v>2361</v>
      </c>
      <c r="K16" s="2" t="s">
        <v>2377</v>
      </c>
      <c r="L16" s="8" t="str">
        <f>HYPERLINK("http://slimages.macys.com/is/image/MCY/9178734 ")</f>
        <v xml:space="preserve">http://slimages.macys.com/is/image/MCY/9178734 </v>
      </c>
    </row>
    <row r="17" spans="1:12" ht="30" customHeight="1" x14ac:dyDescent="0.25">
      <c r="A17" s="5" t="s">
        <v>1523</v>
      </c>
      <c r="B17" s="2" t="s">
        <v>1524</v>
      </c>
      <c r="C17" s="3">
        <v>1</v>
      </c>
      <c r="D17" s="6">
        <v>39.99</v>
      </c>
      <c r="E17" s="3" t="s">
        <v>1525</v>
      </c>
      <c r="F17" s="2" t="s">
        <v>2517</v>
      </c>
      <c r="G17" s="7"/>
      <c r="H17" s="2" t="s">
        <v>2412</v>
      </c>
      <c r="I17" s="2" t="s">
        <v>1533</v>
      </c>
      <c r="J17" s="2" t="s">
        <v>2432</v>
      </c>
      <c r="K17" s="2" t="s">
        <v>3060</v>
      </c>
      <c r="L17" s="8" t="str">
        <f>HYPERLINK("http://slimages.macys.com/is/image/MCY/10408800 ")</f>
        <v xml:space="preserve">http://slimages.macys.com/is/image/MCY/10408800 </v>
      </c>
    </row>
    <row r="18" spans="1:12" ht="30" customHeight="1" x14ac:dyDescent="0.25">
      <c r="A18" s="5" t="s">
        <v>1526</v>
      </c>
      <c r="B18" s="2" t="s">
        <v>1527</v>
      </c>
      <c r="C18" s="3">
        <v>1</v>
      </c>
      <c r="D18" s="6">
        <v>39.99</v>
      </c>
      <c r="E18" s="3" t="s">
        <v>1528</v>
      </c>
      <c r="F18" s="2"/>
      <c r="G18" s="7"/>
      <c r="H18" s="2" t="s">
        <v>2459</v>
      </c>
      <c r="I18" s="2" t="s">
        <v>2807</v>
      </c>
      <c r="J18" s="2" t="s">
        <v>2789</v>
      </c>
      <c r="K18" s="2" t="s">
        <v>1537</v>
      </c>
      <c r="L18" s="8" t="str">
        <f>HYPERLINK("http://slimages.macys.com/is/image/MCY/3991341 ")</f>
        <v xml:space="preserve">http://slimages.macys.com/is/image/MCY/3991341 </v>
      </c>
    </row>
    <row r="19" spans="1:12" ht="30" customHeight="1" x14ac:dyDescent="0.25">
      <c r="A19" s="5" t="s">
        <v>3035</v>
      </c>
      <c r="B19" s="2" t="s">
        <v>3036</v>
      </c>
      <c r="C19" s="3">
        <v>1</v>
      </c>
      <c r="D19" s="6">
        <v>34.99</v>
      </c>
      <c r="E19" s="3" t="s">
        <v>3037</v>
      </c>
      <c r="F19" s="2" t="s">
        <v>3038</v>
      </c>
      <c r="G19" s="7" t="s">
        <v>3039</v>
      </c>
      <c r="H19" s="2" t="s">
        <v>2419</v>
      </c>
      <c r="I19" s="2" t="s">
        <v>2950</v>
      </c>
      <c r="J19" s="2" t="s">
        <v>2361</v>
      </c>
      <c r="K19" s="2"/>
      <c r="L19" s="8" t="str">
        <f>HYPERLINK("http://slimages.macys.com/is/image/MCY/16008349 ")</f>
        <v xml:space="preserve">http://slimages.macys.com/is/image/MCY/16008349 </v>
      </c>
    </row>
    <row r="20" spans="1:12" ht="30" customHeight="1" x14ac:dyDescent="0.25">
      <c r="A20" s="5" t="s">
        <v>3043</v>
      </c>
      <c r="B20" s="2" t="s">
        <v>3044</v>
      </c>
      <c r="C20" s="3">
        <v>2</v>
      </c>
      <c r="D20" s="6">
        <v>39.99</v>
      </c>
      <c r="E20" s="3" t="s">
        <v>3045</v>
      </c>
      <c r="F20" s="2" t="s">
        <v>2605</v>
      </c>
      <c r="G20" s="7"/>
      <c r="H20" s="2" t="s">
        <v>2459</v>
      </c>
      <c r="I20" s="2" t="s">
        <v>2406</v>
      </c>
      <c r="J20" s="2" t="s">
        <v>2361</v>
      </c>
      <c r="K20" s="2" t="s">
        <v>3046</v>
      </c>
      <c r="L20" s="8" t="str">
        <f>HYPERLINK("http://slimages.macys.com/is/image/MCY/10044363 ")</f>
        <v xml:space="preserve">http://slimages.macys.com/is/image/MCY/10044363 </v>
      </c>
    </row>
    <row r="21" spans="1:12" ht="30" customHeight="1" x14ac:dyDescent="0.25">
      <c r="A21" s="5" t="s">
        <v>1530</v>
      </c>
      <c r="B21" s="2" t="s">
        <v>1531</v>
      </c>
      <c r="C21" s="3">
        <v>2</v>
      </c>
      <c r="D21" s="6">
        <v>31.99</v>
      </c>
      <c r="E21" s="3" t="s">
        <v>1532</v>
      </c>
      <c r="F21" s="2" t="s">
        <v>2394</v>
      </c>
      <c r="G21" s="7" t="s">
        <v>2518</v>
      </c>
      <c r="H21" s="2" t="s">
        <v>2419</v>
      </c>
      <c r="I21" s="2" t="s">
        <v>2406</v>
      </c>
      <c r="J21" s="2" t="s">
        <v>2361</v>
      </c>
      <c r="K21" s="2" t="s">
        <v>1548</v>
      </c>
      <c r="L21" s="8" t="str">
        <f>HYPERLINK("http://slimages.macys.com/is/image/MCY/9613989 ")</f>
        <v xml:space="preserve">http://slimages.macys.com/is/image/MCY/9613989 </v>
      </c>
    </row>
    <row r="22" spans="1:12" ht="30" customHeight="1" x14ac:dyDescent="0.25">
      <c r="A22" s="5" t="s">
        <v>1534</v>
      </c>
      <c r="B22" s="2" t="s">
        <v>1535</v>
      </c>
      <c r="C22" s="3">
        <v>2</v>
      </c>
      <c r="D22" s="6">
        <v>31.99</v>
      </c>
      <c r="E22" s="3" t="s">
        <v>1536</v>
      </c>
      <c r="F22" s="2" t="s">
        <v>2394</v>
      </c>
      <c r="G22" s="7"/>
      <c r="H22" s="2" t="s">
        <v>2419</v>
      </c>
      <c r="I22" s="2" t="s">
        <v>2406</v>
      </c>
      <c r="J22" s="2" t="s">
        <v>2361</v>
      </c>
      <c r="K22" s="2"/>
      <c r="L22" s="8" t="str">
        <f>HYPERLINK("http://slimages.macys.com/is/image/MCY/9961970 ")</f>
        <v xml:space="preserve">http://slimages.macys.com/is/image/MCY/9961970 </v>
      </c>
    </row>
    <row r="23" spans="1:12" ht="30" customHeight="1" x14ac:dyDescent="0.25">
      <c r="A23" s="5" t="s">
        <v>1538</v>
      </c>
      <c r="B23" s="2" t="s">
        <v>1539</v>
      </c>
      <c r="C23" s="3">
        <v>3</v>
      </c>
      <c r="D23" s="6">
        <v>29.99</v>
      </c>
      <c r="E23" s="3" t="s">
        <v>1540</v>
      </c>
      <c r="F23" s="2"/>
      <c r="G23" s="7"/>
      <c r="H23" s="2" t="s">
        <v>2419</v>
      </c>
      <c r="I23" s="2" t="s">
        <v>3104</v>
      </c>
      <c r="J23" s="2" t="s">
        <v>2361</v>
      </c>
      <c r="K23" s="2"/>
      <c r="L23" s="8" t="str">
        <f>HYPERLINK("http://slimages.macys.com/is/image/MCY/15955183 ")</f>
        <v xml:space="preserve">http://slimages.macys.com/is/image/MCY/15955183 </v>
      </c>
    </row>
    <row r="24" spans="1:12" ht="30" customHeight="1" x14ac:dyDescent="0.25">
      <c r="A24" s="5" t="s">
        <v>1541</v>
      </c>
      <c r="B24" s="2" t="s">
        <v>1542</v>
      </c>
      <c r="C24" s="3">
        <v>1</v>
      </c>
      <c r="D24" s="6">
        <v>24.99</v>
      </c>
      <c r="E24" s="3" t="s">
        <v>1543</v>
      </c>
      <c r="F24" s="2" t="s">
        <v>2458</v>
      </c>
      <c r="G24" s="7"/>
      <c r="H24" s="2" t="s">
        <v>2459</v>
      </c>
      <c r="I24" s="2" t="s">
        <v>2406</v>
      </c>
      <c r="J24" s="2" t="s">
        <v>2361</v>
      </c>
      <c r="K24" s="2"/>
      <c r="L24" s="8" t="str">
        <f>HYPERLINK("http://slimages.macys.com/is/image/MCY/11706602 ")</f>
        <v xml:space="preserve">http://slimages.macys.com/is/image/MCY/11706602 </v>
      </c>
    </row>
    <row r="25" spans="1:12" ht="30" customHeight="1" x14ac:dyDescent="0.25">
      <c r="A25" s="5" t="s">
        <v>1544</v>
      </c>
      <c r="B25" s="2" t="s">
        <v>1545</v>
      </c>
      <c r="C25" s="3">
        <v>2</v>
      </c>
      <c r="D25" s="6">
        <v>24.99</v>
      </c>
      <c r="E25" s="3" t="s">
        <v>1546</v>
      </c>
      <c r="F25" s="2" t="s">
        <v>2401</v>
      </c>
      <c r="G25" s="7" t="s">
        <v>1547</v>
      </c>
      <c r="H25" s="2" t="s">
        <v>2419</v>
      </c>
      <c r="I25" s="2" t="s">
        <v>3104</v>
      </c>
      <c r="J25" s="2" t="s">
        <v>2361</v>
      </c>
      <c r="K25" s="2" t="s">
        <v>1142</v>
      </c>
      <c r="L25" s="8" t="str">
        <f>HYPERLINK("http://slimages.macys.com/is/image/MCY/9404099 ")</f>
        <v xml:space="preserve">http://slimages.macys.com/is/image/MCY/9404099 </v>
      </c>
    </row>
    <row r="26" spans="1:12" ht="30" customHeight="1" x14ac:dyDescent="0.25">
      <c r="A26" s="5" t="s">
        <v>1549</v>
      </c>
      <c r="B26" s="2" t="s">
        <v>1550</v>
      </c>
      <c r="C26" s="3">
        <v>2</v>
      </c>
      <c r="D26" s="6">
        <v>29.99</v>
      </c>
      <c r="E26" s="3" t="s">
        <v>1551</v>
      </c>
      <c r="F26" s="2" t="s">
        <v>3381</v>
      </c>
      <c r="G26" s="7" t="s">
        <v>3039</v>
      </c>
      <c r="H26" s="2" t="s">
        <v>2368</v>
      </c>
      <c r="I26" s="2" t="s">
        <v>2369</v>
      </c>
      <c r="J26" s="2" t="s">
        <v>2361</v>
      </c>
      <c r="K26" s="2" t="s">
        <v>2370</v>
      </c>
      <c r="L26" s="8" t="str">
        <f>HYPERLINK("http://slimages.macys.com/is/image/MCY/3479990 ")</f>
        <v xml:space="preserve">http://slimages.macys.com/is/image/MCY/3479990 </v>
      </c>
    </row>
    <row r="27" spans="1:12" ht="30" customHeight="1" x14ac:dyDescent="0.25">
      <c r="A27" s="5" t="s">
        <v>3072</v>
      </c>
      <c r="B27" s="2" t="s">
        <v>3073</v>
      </c>
      <c r="C27" s="3">
        <v>2</v>
      </c>
      <c r="D27" s="6">
        <v>29.99</v>
      </c>
      <c r="E27" s="3" t="s">
        <v>3074</v>
      </c>
      <c r="F27" s="2" t="s">
        <v>2401</v>
      </c>
      <c r="G27" s="7"/>
      <c r="H27" s="2" t="s">
        <v>2459</v>
      </c>
      <c r="I27" s="2" t="s">
        <v>2406</v>
      </c>
      <c r="J27" s="2" t="s">
        <v>2361</v>
      </c>
      <c r="K27" s="2" t="s">
        <v>3075</v>
      </c>
      <c r="L27" s="8" t="str">
        <f>HYPERLINK("http://slimages.macys.com/is/image/MCY/10044237 ")</f>
        <v xml:space="preserve">http://slimages.macys.com/is/image/MCY/10044237 </v>
      </c>
    </row>
    <row r="28" spans="1:12" ht="30" customHeight="1" x14ac:dyDescent="0.25">
      <c r="A28" s="5" t="s">
        <v>1408</v>
      </c>
      <c r="B28" s="2" t="s">
        <v>1409</v>
      </c>
      <c r="C28" s="3">
        <v>1</v>
      </c>
      <c r="D28" s="6">
        <v>27.99</v>
      </c>
      <c r="E28" s="3" t="s">
        <v>1410</v>
      </c>
      <c r="F28" s="2" t="s">
        <v>1400</v>
      </c>
      <c r="G28" s="7"/>
      <c r="H28" s="2" t="s">
        <v>2419</v>
      </c>
      <c r="I28" s="2" t="s">
        <v>2406</v>
      </c>
      <c r="J28" s="2" t="s">
        <v>2361</v>
      </c>
      <c r="K28" s="2" t="s">
        <v>1411</v>
      </c>
      <c r="L28" s="8" t="str">
        <f>HYPERLINK("http://slimages.macys.com/is/image/MCY/9534578 ")</f>
        <v xml:space="preserve">http://slimages.macys.com/is/image/MCY/9534578 </v>
      </c>
    </row>
    <row r="29" spans="1:12" ht="30" customHeight="1" x14ac:dyDescent="0.25">
      <c r="A29" s="5" t="s">
        <v>1552</v>
      </c>
      <c r="B29" s="2" t="s">
        <v>1553</v>
      </c>
      <c r="C29" s="3">
        <v>1</v>
      </c>
      <c r="D29" s="6">
        <v>24.99</v>
      </c>
      <c r="E29" s="3">
        <v>80610</v>
      </c>
      <c r="F29" s="2" t="s">
        <v>3024</v>
      </c>
      <c r="G29" s="7" t="s">
        <v>1417</v>
      </c>
      <c r="H29" s="2" t="s">
        <v>2459</v>
      </c>
      <c r="I29" s="2" t="s">
        <v>2807</v>
      </c>
      <c r="J29" s="2" t="s">
        <v>2361</v>
      </c>
      <c r="K29" s="2" t="s">
        <v>2508</v>
      </c>
      <c r="L29" s="8" t="str">
        <f>HYPERLINK("http://slimages.macys.com/is/image/MCY/3113997 ")</f>
        <v xml:space="preserve">http://slimages.macys.com/is/image/MCY/3113997 </v>
      </c>
    </row>
    <row r="30" spans="1:12" ht="30" customHeight="1" x14ac:dyDescent="0.25">
      <c r="A30" s="5" t="s">
        <v>1554</v>
      </c>
      <c r="B30" s="2" t="s">
        <v>1555</v>
      </c>
      <c r="C30" s="3">
        <v>1</v>
      </c>
      <c r="D30" s="6">
        <v>22.99</v>
      </c>
      <c r="E30" s="3" t="s">
        <v>1556</v>
      </c>
      <c r="F30" s="2" t="s">
        <v>2622</v>
      </c>
      <c r="G30" s="7"/>
      <c r="H30" s="2" t="s">
        <v>2537</v>
      </c>
      <c r="I30" s="2" t="s">
        <v>2803</v>
      </c>
      <c r="J30" s="2" t="s">
        <v>2361</v>
      </c>
      <c r="K30" s="2" t="s">
        <v>2656</v>
      </c>
      <c r="L30" s="8" t="str">
        <f>HYPERLINK("http://slimages.macys.com/is/image/MCY/9975011 ")</f>
        <v xml:space="preserve">http://slimages.macys.com/is/image/MCY/9975011 </v>
      </c>
    </row>
    <row r="31" spans="1:12" ht="30" customHeight="1" x14ac:dyDescent="0.25">
      <c r="A31" s="5" t="s">
        <v>1557</v>
      </c>
      <c r="B31" s="2" t="s">
        <v>1558</v>
      </c>
      <c r="C31" s="3">
        <v>1</v>
      </c>
      <c r="D31" s="6">
        <v>19.989999999999998</v>
      </c>
      <c r="E31" s="3" t="s">
        <v>1559</v>
      </c>
      <c r="F31" s="2"/>
      <c r="G31" s="7"/>
      <c r="H31" s="2" t="s">
        <v>2446</v>
      </c>
      <c r="I31" s="2" t="s">
        <v>3233</v>
      </c>
      <c r="J31" s="2" t="s">
        <v>2432</v>
      </c>
      <c r="K31" s="2" t="s">
        <v>2397</v>
      </c>
      <c r="L31" s="8" t="str">
        <f>HYPERLINK("http://slimages.macys.com/is/image/MCY/11378102 ")</f>
        <v xml:space="preserve">http://slimages.macys.com/is/image/MCY/11378102 </v>
      </c>
    </row>
    <row r="32" spans="1:12" ht="30" customHeight="1" x14ac:dyDescent="0.25">
      <c r="A32" s="5" t="s">
        <v>1427</v>
      </c>
      <c r="B32" s="2" t="s">
        <v>1428</v>
      </c>
      <c r="C32" s="3">
        <v>2</v>
      </c>
      <c r="D32" s="6">
        <v>26.99</v>
      </c>
      <c r="E32" s="3" t="s">
        <v>1429</v>
      </c>
      <c r="F32" s="2" t="s">
        <v>2381</v>
      </c>
      <c r="G32" s="7"/>
      <c r="H32" s="2" t="s">
        <v>2359</v>
      </c>
      <c r="I32" s="2" t="s">
        <v>2406</v>
      </c>
      <c r="J32" s="2" t="s">
        <v>2361</v>
      </c>
      <c r="K32" s="2" t="s">
        <v>1430</v>
      </c>
      <c r="L32" s="8" t="str">
        <f>HYPERLINK("http://slimages.macys.com/is/image/MCY/9767691 ")</f>
        <v xml:space="preserve">http://slimages.macys.com/is/image/MCY/9767691 </v>
      </c>
    </row>
    <row r="33" spans="1:12" ht="30" customHeight="1" x14ac:dyDescent="0.25">
      <c r="A33" s="5" t="s">
        <v>1560</v>
      </c>
      <c r="B33" s="2" t="s">
        <v>1561</v>
      </c>
      <c r="C33" s="3">
        <v>1</v>
      </c>
      <c r="D33" s="6">
        <v>19.989999999999998</v>
      </c>
      <c r="E33" s="3" t="s">
        <v>1562</v>
      </c>
      <c r="F33" s="2" t="s">
        <v>2381</v>
      </c>
      <c r="G33" s="7"/>
      <c r="H33" s="2" t="s">
        <v>2419</v>
      </c>
      <c r="I33" s="2" t="s">
        <v>2406</v>
      </c>
      <c r="J33" s="2" t="s">
        <v>2361</v>
      </c>
      <c r="K33" s="2"/>
      <c r="L33" s="8" t="str">
        <f>HYPERLINK("http://slimages.macys.com/is/image/MCY/9927294 ")</f>
        <v xml:space="preserve">http://slimages.macys.com/is/image/MCY/9927294 </v>
      </c>
    </row>
    <row r="34" spans="1:12" ht="30" customHeight="1" x14ac:dyDescent="0.25">
      <c r="A34" s="5" t="s">
        <v>3108</v>
      </c>
      <c r="B34" s="2" t="s">
        <v>3109</v>
      </c>
      <c r="C34" s="3">
        <v>3</v>
      </c>
      <c r="D34" s="6">
        <v>19.989999999999998</v>
      </c>
      <c r="E34" s="3" t="s">
        <v>3110</v>
      </c>
      <c r="F34" s="2" t="s">
        <v>2381</v>
      </c>
      <c r="G34" s="7"/>
      <c r="H34" s="2" t="s">
        <v>2459</v>
      </c>
      <c r="I34" s="2" t="s">
        <v>2406</v>
      </c>
      <c r="J34" s="2" t="s">
        <v>2361</v>
      </c>
      <c r="K34" s="2" t="s">
        <v>3067</v>
      </c>
      <c r="L34" s="8" t="str">
        <f>HYPERLINK("http://slimages.macys.com/is/image/MCY/11703214 ")</f>
        <v xml:space="preserve">http://slimages.macys.com/is/image/MCY/11703214 </v>
      </c>
    </row>
    <row r="35" spans="1:12" ht="30" customHeight="1" x14ac:dyDescent="0.25">
      <c r="A35" s="5" t="s">
        <v>1563</v>
      </c>
      <c r="B35" s="2" t="s">
        <v>1564</v>
      </c>
      <c r="C35" s="3">
        <v>1</v>
      </c>
      <c r="D35" s="6">
        <v>16.989999999999998</v>
      </c>
      <c r="E35" s="3" t="s">
        <v>1565</v>
      </c>
      <c r="F35" s="2"/>
      <c r="G35" s="7"/>
      <c r="H35" s="2" t="s">
        <v>2419</v>
      </c>
      <c r="I35" s="2" t="s">
        <v>3104</v>
      </c>
      <c r="J35" s="2" t="s">
        <v>2361</v>
      </c>
      <c r="K35" s="2" t="s">
        <v>1142</v>
      </c>
      <c r="L35" s="8" t="str">
        <f>HYPERLINK("http://slimages.macys.com/is/image/MCY/9404108 ")</f>
        <v xml:space="preserve">http://slimages.macys.com/is/image/MCY/9404108 </v>
      </c>
    </row>
    <row r="36" spans="1:12" ht="30" customHeight="1" x14ac:dyDescent="0.25">
      <c r="A36" s="5" t="s">
        <v>1566</v>
      </c>
      <c r="B36" s="2" t="s">
        <v>1567</v>
      </c>
      <c r="C36" s="3">
        <v>1</v>
      </c>
      <c r="D36" s="6">
        <v>39.99</v>
      </c>
      <c r="E36" s="3" t="s">
        <v>1568</v>
      </c>
      <c r="F36" s="2" t="s">
        <v>2517</v>
      </c>
      <c r="G36" s="7"/>
      <c r="H36" s="2" t="s">
        <v>2368</v>
      </c>
      <c r="I36" s="2" t="s">
        <v>2369</v>
      </c>
      <c r="J36" s="2" t="s">
        <v>2432</v>
      </c>
      <c r="K36" s="2" t="s">
        <v>1582</v>
      </c>
      <c r="L36" s="8" t="str">
        <f>HYPERLINK("http://slimages.macys.com/is/image/MCY/9936545 ")</f>
        <v xml:space="preserve">http://slimages.macys.com/is/image/MCY/9936545 </v>
      </c>
    </row>
    <row r="37" spans="1:12" ht="30" customHeight="1" x14ac:dyDescent="0.25">
      <c r="A37" s="5" t="s">
        <v>1569</v>
      </c>
      <c r="B37" s="2" t="s">
        <v>1570</v>
      </c>
      <c r="C37" s="3">
        <v>1</v>
      </c>
      <c r="D37" s="6">
        <v>29.99</v>
      </c>
      <c r="E37" s="3" t="s">
        <v>1571</v>
      </c>
      <c r="F37" s="2" t="s">
        <v>3194</v>
      </c>
      <c r="G37" s="7"/>
      <c r="H37" s="2" t="s">
        <v>2395</v>
      </c>
      <c r="I37" s="2" t="s">
        <v>2396</v>
      </c>
      <c r="J37" s="2" t="s">
        <v>2361</v>
      </c>
      <c r="K37" s="2" t="s">
        <v>2397</v>
      </c>
      <c r="L37" s="8" t="str">
        <f>HYPERLINK("http://slimages.macys.com/is/image/MCY/9855045 ")</f>
        <v xml:space="preserve">http://slimages.macys.com/is/image/MCY/9855045 </v>
      </c>
    </row>
    <row r="38" spans="1:12" ht="30" customHeight="1" x14ac:dyDescent="0.25">
      <c r="A38" s="5" t="s">
        <v>1572</v>
      </c>
      <c r="B38" s="2" t="s">
        <v>1573</v>
      </c>
      <c r="C38" s="3">
        <v>1</v>
      </c>
      <c r="D38" s="6">
        <v>14.99</v>
      </c>
      <c r="E38" s="3" t="s">
        <v>1574</v>
      </c>
      <c r="F38" s="2" t="s">
        <v>2440</v>
      </c>
      <c r="G38" s="7"/>
      <c r="H38" s="2" t="s">
        <v>2459</v>
      </c>
      <c r="I38" s="2" t="s">
        <v>2406</v>
      </c>
      <c r="J38" s="2" t="s">
        <v>2432</v>
      </c>
      <c r="K38" s="2" t="s">
        <v>1588</v>
      </c>
      <c r="L38" s="8" t="str">
        <f>HYPERLINK("http://slimages.macys.com/is/image/MCY/10094904 ")</f>
        <v xml:space="preserve">http://slimages.macys.com/is/image/MCY/10094904 </v>
      </c>
    </row>
    <row r="39" spans="1:12" ht="30" customHeight="1" x14ac:dyDescent="0.25">
      <c r="A39" s="5" t="s">
        <v>1575</v>
      </c>
      <c r="B39" s="2" t="s">
        <v>1576</v>
      </c>
      <c r="C39" s="3">
        <v>1</v>
      </c>
      <c r="D39" s="6">
        <v>14.99</v>
      </c>
      <c r="E39" s="3" t="s">
        <v>1577</v>
      </c>
      <c r="F39" s="2" t="s">
        <v>2797</v>
      </c>
      <c r="G39" s="7" t="s">
        <v>1578</v>
      </c>
      <c r="H39" s="2" t="s">
        <v>2459</v>
      </c>
      <c r="I39" s="2" t="s">
        <v>2447</v>
      </c>
      <c r="J39" s="2" t="s">
        <v>2361</v>
      </c>
      <c r="K39" s="2"/>
      <c r="L39" s="8" t="str">
        <f>HYPERLINK("http://slimages.macys.com/is/image/MCY/9367750 ")</f>
        <v xml:space="preserve">http://slimages.macys.com/is/image/MCY/9367750 </v>
      </c>
    </row>
    <row r="40" spans="1:12" ht="30" customHeight="1" x14ac:dyDescent="0.25">
      <c r="A40" s="5" t="s">
        <v>1579</v>
      </c>
      <c r="B40" s="2" t="s">
        <v>1580</v>
      </c>
      <c r="C40" s="3">
        <v>2</v>
      </c>
      <c r="D40" s="6">
        <v>29.99</v>
      </c>
      <c r="E40" s="3" t="s">
        <v>1581</v>
      </c>
      <c r="F40" s="2" t="s">
        <v>2394</v>
      </c>
      <c r="G40" s="7"/>
      <c r="H40" s="2" t="s">
        <v>2395</v>
      </c>
      <c r="I40" s="2" t="s">
        <v>2396</v>
      </c>
      <c r="J40" s="2" t="s">
        <v>2361</v>
      </c>
      <c r="K40" s="2"/>
      <c r="L40" s="8" t="str">
        <f>HYPERLINK("http://slimages.macys.com/is/image/MCY/9997443 ")</f>
        <v xml:space="preserve">http://slimages.macys.com/is/image/MCY/9997443 </v>
      </c>
    </row>
    <row r="41" spans="1:12" ht="30" customHeight="1" x14ac:dyDescent="0.25">
      <c r="A41" s="5" t="s">
        <v>1583</v>
      </c>
      <c r="B41" s="2" t="s">
        <v>1584</v>
      </c>
      <c r="C41" s="3">
        <v>1</v>
      </c>
      <c r="D41" s="6">
        <v>6.99</v>
      </c>
      <c r="E41" s="3">
        <v>1002331200</v>
      </c>
      <c r="F41" s="2" t="s">
        <v>2358</v>
      </c>
      <c r="G41" s="7" t="s">
        <v>2553</v>
      </c>
      <c r="H41" s="2" t="s">
        <v>2532</v>
      </c>
      <c r="I41" s="2" t="s">
        <v>2369</v>
      </c>
      <c r="J41" s="2" t="s">
        <v>2361</v>
      </c>
      <c r="K41" s="2" t="s">
        <v>2397</v>
      </c>
      <c r="L41" s="8" t="str">
        <f>HYPERLINK("http://slimages.macys.com/is/image/MCY/9837857 ")</f>
        <v xml:space="preserve">http://slimages.macys.com/is/image/MCY/9837857 </v>
      </c>
    </row>
    <row r="42" spans="1:12" ht="30" customHeight="1" x14ac:dyDescent="0.25">
      <c r="A42" s="5" t="s">
        <v>1585</v>
      </c>
      <c r="B42" s="2" t="s">
        <v>1586</v>
      </c>
      <c r="C42" s="3">
        <v>1</v>
      </c>
      <c r="D42" s="6">
        <v>2.99</v>
      </c>
      <c r="E42" s="3" t="s">
        <v>1587</v>
      </c>
      <c r="F42" s="2" t="s">
        <v>2622</v>
      </c>
      <c r="G42" s="7" t="s">
        <v>2553</v>
      </c>
      <c r="H42" s="2" t="s">
        <v>2446</v>
      </c>
      <c r="I42" s="2" t="s">
        <v>2780</v>
      </c>
      <c r="J42" s="2" t="s">
        <v>2361</v>
      </c>
      <c r="K42" s="2" t="s">
        <v>2508</v>
      </c>
      <c r="L42" s="8" t="str">
        <f>HYPERLINK("http://slimages.macys.com/is/image/MCY/9848134 ")</f>
        <v xml:space="preserve">http://slimages.macys.com/is/image/MCY/9848134 </v>
      </c>
    </row>
    <row r="43" spans="1:12" ht="30" customHeight="1" x14ac:dyDescent="0.25">
      <c r="A43" s="5" t="s">
        <v>1589</v>
      </c>
      <c r="B43" s="2" t="s">
        <v>1590</v>
      </c>
      <c r="C43" s="3">
        <v>1</v>
      </c>
      <c r="D43" s="6">
        <v>45.54</v>
      </c>
      <c r="E43" s="3" t="s">
        <v>1591</v>
      </c>
      <c r="F43" s="2" t="s">
        <v>2366</v>
      </c>
      <c r="G43" s="7"/>
      <c r="H43" s="2" t="s">
        <v>2359</v>
      </c>
      <c r="I43" s="2" t="s">
        <v>2803</v>
      </c>
      <c r="J43" s="2"/>
      <c r="K43" s="2"/>
      <c r="L43" s="8"/>
    </row>
    <row r="44" spans="1:12" ht="30" customHeight="1" x14ac:dyDescent="0.25">
      <c r="A44" s="5" t="s">
        <v>1592</v>
      </c>
      <c r="B44" s="2" t="s">
        <v>1593</v>
      </c>
      <c r="C44" s="3">
        <v>1</v>
      </c>
      <c r="D44" s="6">
        <v>24.99</v>
      </c>
      <c r="E44" s="3" t="s">
        <v>1594</v>
      </c>
      <c r="F44" s="2" t="s">
        <v>2517</v>
      </c>
      <c r="G44" s="7" t="s">
        <v>2382</v>
      </c>
      <c r="H44" s="2" t="s">
        <v>2459</v>
      </c>
      <c r="I44" s="2" t="s">
        <v>2383</v>
      </c>
      <c r="J44" s="2"/>
      <c r="K44" s="2"/>
      <c r="L44" s="8"/>
    </row>
    <row r="45" spans="1:12" ht="30" customHeight="1" x14ac:dyDescent="0.25">
      <c r="A45" s="5" t="s">
        <v>1595</v>
      </c>
      <c r="B45" s="2" t="s">
        <v>1596</v>
      </c>
      <c r="C45" s="3">
        <v>1</v>
      </c>
      <c r="D45" s="6">
        <v>21.99</v>
      </c>
      <c r="E45" s="3" t="s">
        <v>1597</v>
      </c>
      <c r="F45" s="2" t="s">
        <v>2458</v>
      </c>
      <c r="G45" s="7"/>
      <c r="H45" s="2" t="s">
        <v>2419</v>
      </c>
      <c r="I45" s="2" t="s">
        <v>1060</v>
      </c>
      <c r="J45" s="2"/>
      <c r="K45" s="2"/>
      <c r="L45" s="8"/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/>
  </sheetViews>
  <sheetFormatPr defaultRowHeight="30" customHeight="1" x14ac:dyDescent="0.25"/>
  <cols>
    <col min="1" max="1" width="14.28515625" customWidth="1"/>
    <col min="2" max="2" width="22.8554687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1598</v>
      </c>
      <c r="B2" s="2" t="s">
        <v>1599</v>
      </c>
      <c r="C2" s="3">
        <v>1</v>
      </c>
      <c r="D2" s="6">
        <v>179.99</v>
      </c>
      <c r="E2" s="3" t="s">
        <v>1600</v>
      </c>
      <c r="F2" s="2" t="s">
        <v>2582</v>
      </c>
      <c r="G2" s="7"/>
      <c r="H2" s="2" t="s">
        <v>2359</v>
      </c>
      <c r="I2" s="2" t="s">
        <v>2406</v>
      </c>
      <c r="J2" s="2" t="s">
        <v>2361</v>
      </c>
      <c r="K2" s="2" t="s">
        <v>1601</v>
      </c>
      <c r="L2" s="8" t="str">
        <f>HYPERLINK("http://slimages.macys.com/is/image/MCY/9627921 ")</f>
        <v xml:space="preserve">http://slimages.macys.com/is/image/MCY/9627921 </v>
      </c>
    </row>
    <row r="3" spans="1:12" ht="30" customHeight="1" x14ac:dyDescent="0.25">
      <c r="A3" s="5" t="s">
        <v>1602</v>
      </c>
      <c r="B3" s="2" t="s">
        <v>1603</v>
      </c>
      <c r="C3" s="3">
        <v>1</v>
      </c>
      <c r="D3" s="6">
        <v>179.99</v>
      </c>
      <c r="E3" s="3" t="s">
        <v>1604</v>
      </c>
      <c r="F3" s="2" t="s">
        <v>2381</v>
      </c>
      <c r="G3" s="7"/>
      <c r="H3" s="2" t="s">
        <v>2359</v>
      </c>
      <c r="I3" s="2" t="s">
        <v>2406</v>
      </c>
      <c r="J3" s="2" t="s">
        <v>2361</v>
      </c>
      <c r="K3" s="2" t="s">
        <v>1605</v>
      </c>
      <c r="L3" s="8" t="str">
        <f>HYPERLINK("http://slimages.macys.com/is/image/MCY/9627781 ")</f>
        <v xml:space="preserve">http://slimages.macys.com/is/image/MCY/9627781 </v>
      </c>
    </row>
    <row r="4" spans="1:12" ht="30" customHeight="1" x14ac:dyDescent="0.25">
      <c r="A4" s="5" t="s">
        <v>1606</v>
      </c>
      <c r="B4" s="2" t="s">
        <v>1607</v>
      </c>
      <c r="C4" s="3">
        <v>1</v>
      </c>
      <c r="D4" s="6">
        <v>144.99</v>
      </c>
      <c r="E4" s="3" t="s">
        <v>1608</v>
      </c>
      <c r="F4" s="2" t="s">
        <v>2381</v>
      </c>
      <c r="G4" s="7"/>
      <c r="H4" s="2" t="s">
        <v>2359</v>
      </c>
      <c r="I4" s="2" t="s">
        <v>2406</v>
      </c>
      <c r="J4" s="2" t="s">
        <v>2361</v>
      </c>
      <c r="K4" s="2" t="s">
        <v>1609</v>
      </c>
      <c r="L4" s="8" t="str">
        <f>HYPERLINK("http://slimages.macys.com/is/image/MCY/8936712 ")</f>
        <v xml:space="preserve">http://slimages.macys.com/is/image/MCY/8936712 </v>
      </c>
    </row>
    <row r="5" spans="1:12" ht="30" customHeight="1" x14ac:dyDescent="0.25">
      <c r="A5" s="5" t="s">
        <v>1610</v>
      </c>
      <c r="B5" s="2" t="s">
        <v>1611</v>
      </c>
      <c r="C5" s="3">
        <v>1</v>
      </c>
      <c r="D5" s="6">
        <v>139.99</v>
      </c>
      <c r="E5" s="3" t="s">
        <v>1612</v>
      </c>
      <c r="F5" s="2" t="s">
        <v>2582</v>
      </c>
      <c r="G5" s="7"/>
      <c r="H5" s="2" t="s">
        <v>2359</v>
      </c>
      <c r="I5" s="2" t="s">
        <v>2406</v>
      </c>
      <c r="J5" s="2" t="s">
        <v>2361</v>
      </c>
      <c r="K5" s="2" t="s">
        <v>1613</v>
      </c>
      <c r="L5" s="8" t="str">
        <f>HYPERLINK("http://slimages.macys.com/is/image/MCY/9566783 ")</f>
        <v xml:space="preserve">http://slimages.macys.com/is/image/MCY/9566783 </v>
      </c>
    </row>
    <row r="6" spans="1:12" ht="30" customHeight="1" x14ac:dyDescent="0.25">
      <c r="A6" s="5" t="s">
        <v>1614</v>
      </c>
      <c r="B6" s="2" t="s">
        <v>1615</v>
      </c>
      <c r="C6" s="3">
        <v>1</v>
      </c>
      <c r="D6" s="6">
        <v>109.99</v>
      </c>
      <c r="E6" s="3" t="s">
        <v>1616</v>
      </c>
      <c r="F6" s="2" t="s">
        <v>2381</v>
      </c>
      <c r="G6" s="7"/>
      <c r="H6" s="2" t="s">
        <v>2359</v>
      </c>
      <c r="I6" s="2" t="s">
        <v>2406</v>
      </c>
      <c r="J6" s="2" t="s">
        <v>2361</v>
      </c>
      <c r="K6" s="2" t="s">
        <v>1617</v>
      </c>
      <c r="L6" s="8" t="str">
        <f>HYPERLINK("http://slimages.macys.com/is/image/MCY/9566739 ")</f>
        <v xml:space="preserve">http://slimages.macys.com/is/image/MCY/9566739 </v>
      </c>
    </row>
    <row r="7" spans="1:12" ht="30" customHeight="1" x14ac:dyDescent="0.25">
      <c r="A7" s="5" t="s">
        <v>1618</v>
      </c>
      <c r="B7" s="2" t="s">
        <v>1619</v>
      </c>
      <c r="C7" s="3">
        <v>1</v>
      </c>
      <c r="D7" s="6">
        <v>149.99</v>
      </c>
      <c r="E7" s="3" t="s">
        <v>1620</v>
      </c>
      <c r="F7" s="2" t="s">
        <v>2849</v>
      </c>
      <c r="G7" s="7"/>
      <c r="H7" s="2" t="s">
        <v>2359</v>
      </c>
      <c r="I7" s="2" t="s">
        <v>2406</v>
      </c>
      <c r="J7" s="2" t="s">
        <v>2361</v>
      </c>
      <c r="K7" s="2" t="s">
        <v>1621</v>
      </c>
      <c r="L7" s="8" t="str">
        <f>HYPERLINK("http://slimages.macys.com/is/image/MCY/9627753 ")</f>
        <v xml:space="preserve">http://slimages.macys.com/is/image/MCY/9627753 </v>
      </c>
    </row>
    <row r="8" spans="1:12" ht="30" customHeight="1" x14ac:dyDescent="0.25">
      <c r="A8" s="5" t="s">
        <v>1622</v>
      </c>
      <c r="B8" s="2" t="s">
        <v>1623</v>
      </c>
      <c r="C8" s="3">
        <v>1</v>
      </c>
      <c r="D8" s="6">
        <v>129.99</v>
      </c>
      <c r="E8" s="3" t="s">
        <v>1624</v>
      </c>
      <c r="F8" s="2" t="s">
        <v>2394</v>
      </c>
      <c r="G8" s="7"/>
      <c r="H8" s="2" t="s">
        <v>2359</v>
      </c>
      <c r="I8" s="2" t="s">
        <v>2406</v>
      </c>
      <c r="J8" s="2" t="s">
        <v>2361</v>
      </c>
      <c r="K8" s="2" t="s">
        <v>1625</v>
      </c>
      <c r="L8" s="8" t="str">
        <f>HYPERLINK("http://slimages.macys.com/is/image/MCY/9500083 ")</f>
        <v xml:space="preserve">http://slimages.macys.com/is/image/MCY/9500083 </v>
      </c>
    </row>
    <row r="9" spans="1:12" ht="30" customHeight="1" x14ac:dyDescent="0.25">
      <c r="A9" s="5" t="s">
        <v>1626</v>
      </c>
      <c r="B9" s="2" t="s">
        <v>1627</v>
      </c>
      <c r="C9" s="3">
        <v>2</v>
      </c>
      <c r="D9" s="6">
        <v>101.99</v>
      </c>
      <c r="E9" s="3" t="s">
        <v>1628</v>
      </c>
      <c r="F9" s="2" t="s">
        <v>2440</v>
      </c>
      <c r="G9" s="7" t="s">
        <v>2666</v>
      </c>
      <c r="H9" s="2" t="s">
        <v>2412</v>
      </c>
      <c r="I9" s="2" t="s">
        <v>1207</v>
      </c>
      <c r="J9" s="2" t="s">
        <v>2467</v>
      </c>
      <c r="K9" s="2" t="s">
        <v>1629</v>
      </c>
      <c r="L9" s="8" t="str">
        <f>HYPERLINK("http://slimages.macys.com/is/image/MCY/10036037 ")</f>
        <v xml:space="preserve">http://slimages.macys.com/is/image/MCY/10036037 </v>
      </c>
    </row>
    <row r="10" spans="1:12" ht="30" customHeight="1" x14ac:dyDescent="0.25">
      <c r="A10" s="5" t="s">
        <v>1630</v>
      </c>
      <c r="B10" s="2" t="s">
        <v>1631</v>
      </c>
      <c r="C10" s="3">
        <v>1</v>
      </c>
      <c r="D10" s="6">
        <v>102.99</v>
      </c>
      <c r="E10" s="3" t="s">
        <v>1632</v>
      </c>
      <c r="F10" s="2" t="s">
        <v>2622</v>
      </c>
      <c r="G10" s="7"/>
      <c r="H10" s="2" t="s">
        <v>2359</v>
      </c>
      <c r="I10" s="2" t="s">
        <v>2406</v>
      </c>
      <c r="J10" s="2" t="s">
        <v>2361</v>
      </c>
      <c r="K10" s="2" t="s">
        <v>1633</v>
      </c>
      <c r="L10" s="8" t="str">
        <f>HYPERLINK("http://slimages.macys.com/is/image/MCY/9798733 ")</f>
        <v xml:space="preserve">http://slimages.macys.com/is/image/MCY/9798733 </v>
      </c>
    </row>
    <row r="11" spans="1:12" ht="30" customHeight="1" x14ac:dyDescent="0.25">
      <c r="A11" s="5" t="s">
        <v>1634</v>
      </c>
      <c r="B11" s="2" t="s">
        <v>1635</v>
      </c>
      <c r="C11" s="3">
        <v>1</v>
      </c>
      <c r="D11" s="6">
        <v>109.99</v>
      </c>
      <c r="E11" s="3" t="s">
        <v>1636</v>
      </c>
      <c r="F11" s="2" t="s">
        <v>2381</v>
      </c>
      <c r="G11" s="7"/>
      <c r="H11" s="2" t="s">
        <v>2359</v>
      </c>
      <c r="I11" s="2" t="s">
        <v>2406</v>
      </c>
      <c r="J11" s="2" t="s">
        <v>2361</v>
      </c>
      <c r="K11" s="2" t="s">
        <v>2377</v>
      </c>
      <c r="L11" s="8" t="str">
        <f>HYPERLINK("http://slimages.macys.com/is/image/MCY/8930319 ")</f>
        <v xml:space="preserve">http://slimages.macys.com/is/image/MCY/8930319 </v>
      </c>
    </row>
    <row r="12" spans="1:12" ht="30" customHeight="1" x14ac:dyDescent="0.25">
      <c r="A12" s="5" t="s">
        <v>1226</v>
      </c>
      <c r="B12" s="2" t="s">
        <v>1227</v>
      </c>
      <c r="C12" s="3">
        <v>1</v>
      </c>
      <c r="D12" s="6">
        <v>109.99</v>
      </c>
      <c r="E12" s="3" t="s">
        <v>1228</v>
      </c>
      <c r="F12" s="2" t="s">
        <v>2418</v>
      </c>
      <c r="G12" s="7"/>
      <c r="H12" s="2" t="s">
        <v>2359</v>
      </c>
      <c r="I12" s="2" t="s">
        <v>2406</v>
      </c>
      <c r="J12" s="2" t="s">
        <v>2361</v>
      </c>
      <c r="K12" s="2" t="s">
        <v>2377</v>
      </c>
      <c r="L12" s="8" t="str">
        <f>HYPERLINK("http://slimages.macys.com/is/image/MCY/8930319 ")</f>
        <v xml:space="preserve">http://slimages.macys.com/is/image/MCY/8930319 </v>
      </c>
    </row>
    <row r="13" spans="1:12" ht="30" customHeight="1" x14ac:dyDescent="0.25">
      <c r="A13" s="5" t="s">
        <v>3162</v>
      </c>
      <c r="B13" s="2" t="s">
        <v>3163</v>
      </c>
      <c r="C13" s="3">
        <v>1</v>
      </c>
      <c r="D13" s="6">
        <v>84.99</v>
      </c>
      <c r="E13" s="3" t="s">
        <v>3164</v>
      </c>
      <c r="F13" s="2" t="s">
        <v>2381</v>
      </c>
      <c r="G13" s="7"/>
      <c r="H13" s="2" t="s">
        <v>2419</v>
      </c>
      <c r="I13" s="2" t="s">
        <v>2406</v>
      </c>
      <c r="J13" s="2" t="s">
        <v>2361</v>
      </c>
      <c r="K13" s="2" t="s">
        <v>3165</v>
      </c>
      <c r="L13" s="8" t="str">
        <f>HYPERLINK("http://slimages.macys.com/is/image/MCY/9775061 ")</f>
        <v xml:space="preserve">http://slimages.macys.com/is/image/MCY/9775061 </v>
      </c>
    </row>
    <row r="14" spans="1:12" ht="30" customHeight="1" x14ac:dyDescent="0.25">
      <c r="A14" s="5" t="s">
        <v>1637</v>
      </c>
      <c r="B14" s="2" t="s">
        <v>1638</v>
      </c>
      <c r="C14" s="3">
        <v>1</v>
      </c>
      <c r="D14" s="6">
        <v>139.99</v>
      </c>
      <c r="E14" s="3" t="s">
        <v>1639</v>
      </c>
      <c r="F14" s="2" t="s">
        <v>2394</v>
      </c>
      <c r="G14" s="7"/>
      <c r="H14" s="2" t="s">
        <v>2675</v>
      </c>
      <c r="I14" s="2" t="s">
        <v>2676</v>
      </c>
      <c r="J14" s="2" t="s">
        <v>2361</v>
      </c>
      <c r="K14" s="2" t="s">
        <v>1640</v>
      </c>
      <c r="L14" s="8" t="str">
        <f>HYPERLINK("http://slimages.macys.com/is/image/MCY/8456177 ")</f>
        <v xml:space="preserve">http://slimages.macys.com/is/image/MCY/8456177 </v>
      </c>
    </row>
    <row r="15" spans="1:12" ht="30" customHeight="1" x14ac:dyDescent="0.25">
      <c r="A15" s="5" t="s">
        <v>1641</v>
      </c>
      <c r="B15" s="2" t="s">
        <v>1642</v>
      </c>
      <c r="C15" s="3">
        <v>1</v>
      </c>
      <c r="D15" s="6">
        <v>89.99</v>
      </c>
      <c r="E15" s="3" t="s">
        <v>1643</v>
      </c>
      <c r="F15" s="2" t="s">
        <v>2424</v>
      </c>
      <c r="G15" s="7" t="s">
        <v>3039</v>
      </c>
      <c r="H15" s="2" t="s">
        <v>2388</v>
      </c>
      <c r="I15" s="2" t="s">
        <v>2425</v>
      </c>
      <c r="J15" s="2" t="s">
        <v>2361</v>
      </c>
      <c r="K15" s="2" t="s">
        <v>2370</v>
      </c>
      <c r="L15" s="8" t="str">
        <f>HYPERLINK("http://slimages.macys.com/is/image/MCY/8069439 ")</f>
        <v xml:space="preserve">http://slimages.macys.com/is/image/MCY/8069439 </v>
      </c>
    </row>
    <row r="16" spans="1:12" ht="30" customHeight="1" x14ac:dyDescent="0.25">
      <c r="A16" s="5" t="s">
        <v>1644</v>
      </c>
      <c r="B16" s="2" t="s">
        <v>1645</v>
      </c>
      <c r="C16" s="3">
        <v>1</v>
      </c>
      <c r="D16" s="6">
        <v>89.99</v>
      </c>
      <c r="E16" s="3" t="s">
        <v>1646</v>
      </c>
      <c r="F16" s="2"/>
      <c r="G16" s="7"/>
      <c r="H16" s="2" t="s">
        <v>2359</v>
      </c>
      <c r="I16" s="2" t="s">
        <v>2803</v>
      </c>
      <c r="J16" s="2" t="s">
        <v>2361</v>
      </c>
      <c r="K16" s="2" t="s">
        <v>2377</v>
      </c>
      <c r="L16" s="8" t="str">
        <f>HYPERLINK("http://slimages.macys.com/is/image/MCY/8962717 ")</f>
        <v xml:space="preserve">http://slimages.macys.com/is/image/MCY/8962717 </v>
      </c>
    </row>
    <row r="17" spans="1:12" ht="30" customHeight="1" x14ac:dyDescent="0.25">
      <c r="A17" s="5" t="s">
        <v>1647</v>
      </c>
      <c r="B17" s="2" t="s">
        <v>1648</v>
      </c>
      <c r="C17" s="3">
        <v>1</v>
      </c>
      <c r="D17" s="6">
        <v>74.989999999999995</v>
      </c>
      <c r="E17" s="3" t="s">
        <v>1649</v>
      </c>
      <c r="F17" s="2"/>
      <c r="G17" s="7"/>
      <c r="H17" s="2" t="s">
        <v>2419</v>
      </c>
      <c r="I17" s="2" t="s">
        <v>2406</v>
      </c>
      <c r="J17" s="2" t="s">
        <v>2361</v>
      </c>
      <c r="K17" s="2" t="s">
        <v>2566</v>
      </c>
      <c r="L17" s="8" t="str">
        <f>HYPERLINK("http://slimages.macys.com/is/image/MCY/9775060 ")</f>
        <v xml:space="preserve">http://slimages.macys.com/is/image/MCY/9775060 </v>
      </c>
    </row>
    <row r="18" spans="1:12" ht="30" customHeight="1" x14ac:dyDescent="0.25">
      <c r="A18" s="5" t="s">
        <v>1650</v>
      </c>
      <c r="B18" s="2" t="s">
        <v>1651</v>
      </c>
      <c r="C18" s="3">
        <v>2</v>
      </c>
      <c r="D18" s="6">
        <v>101.99</v>
      </c>
      <c r="E18" s="3" t="s">
        <v>1651</v>
      </c>
      <c r="F18" s="2" t="s">
        <v>2418</v>
      </c>
      <c r="G18" s="7"/>
      <c r="H18" s="2" t="s">
        <v>2359</v>
      </c>
      <c r="I18" s="2" t="s">
        <v>1652</v>
      </c>
      <c r="J18" s="2" t="s">
        <v>2361</v>
      </c>
      <c r="K18" s="2" t="s">
        <v>1653</v>
      </c>
      <c r="L18" s="8" t="str">
        <f>HYPERLINK("http://slimages.macys.com/is/image/MCY/10433017 ")</f>
        <v xml:space="preserve">http://slimages.macys.com/is/image/MCY/10433017 </v>
      </c>
    </row>
    <row r="19" spans="1:12" ht="30" customHeight="1" x14ac:dyDescent="0.25">
      <c r="A19" s="5" t="s">
        <v>1654</v>
      </c>
      <c r="B19" s="2" t="s">
        <v>1655</v>
      </c>
      <c r="C19" s="3">
        <v>1</v>
      </c>
      <c r="D19" s="6">
        <v>52.99</v>
      </c>
      <c r="E19" s="3" t="s">
        <v>1656</v>
      </c>
      <c r="F19" s="2" t="s">
        <v>2381</v>
      </c>
      <c r="G19" s="7" t="s">
        <v>2627</v>
      </c>
      <c r="H19" s="2" t="s">
        <v>2419</v>
      </c>
      <c r="I19" s="2" t="s">
        <v>2406</v>
      </c>
      <c r="J19" s="2" t="s">
        <v>2361</v>
      </c>
      <c r="K19" s="2" t="s">
        <v>1657</v>
      </c>
      <c r="L19" s="8" t="str">
        <f>HYPERLINK("http://slimages.macys.com/is/image/MCY/9613994 ")</f>
        <v xml:space="preserve">http://slimages.macys.com/is/image/MCY/9613994 </v>
      </c>
    </row>
    <row r="20" spans="1:12" ht="30" customHeight="1" x14ac:dyDescent="0.25">
      <c r="A20" s="5" t="s">
        <v>3521</v>
      </c>
      <c r="B20" s="2" t="s">
        <v>1658</v>
      </c>
      <c r="C20" s="3">
        <v>6</v>
      </c>
      <c r="D20" s="6">
        <v>42.99</v>
      </c>
      <c r="E20" s="3" t="s">
        <v>3523</v>
      </c>
      <c r="F20" s="2" t="s">
        <v>2374</v>
      </c>
      <c r="G20" s="7"/>
      <c r="H20" s="2" t="s">
        <v>2419</v>
      </c>
      <c r="I20" s="2" t="s">
        <v>2406</v>
      </c>
      <c r="J20" s="2" t="s">
        <v>2361</v>
      </c>
      <c r="K20" s="2"/>
      <c r="L20" s="8" t="str">
        <f>HYPERLINK("http://slimages.macys.com/is/image/MCY/9912812 ")</f>
        <v xml:space="preserve">http://slimages.macys.com/is/image/MCY/9912812 </v>
      </c>
    </row>
    <row r="21" spans="1:12" ht="30" customHeight="1" x14ac:dyDescent="0.25">
      <c r="A21" s="5" t="s">
        <v>1659</v>
      </c>
      <c r="B21" s="2" t="s">
        <v>1660</v>
      </c>
      <c r="C21" s="3">
        <v>1</v>
      </c>
      <c r="D21" s="6">
        <v>69.989999999999995</v>
      </c>
      <c r="E21" s="3" t="s">
        <v>1661</v>
      </c>
      <c r="F21" s="2" t="s">
        <v>2464</v>
      </c>
      <c r="G21" s="7"/>
      <c r="H21" s="2" t="s">
        <v>2465</v>
      </c>
      <c r="I21" s="2" t="s">
        <v>2466</v>
      </c>
      <c r="J21" s="2" t="s">
        <v>2467</v>
      </c>
      <c r="K21" s="2"/>
      <c r="L21" s="8" t="str">
        <f>HYPERLINK("http://slimages.macys.com/is/image/MCY/9149980 ")</f>
        <v xml:space="preserve">http://slimages.macys.com/is/image/MCY/9149980 </v>
      </c>
    </row>
    <row r="22" spans="1:12" ht="30" customHeight="1" x14ac:dyDescent="0.25">
      <c r="A22" s="5" t="s">
        <v>1662</v>
      </c>
      <c r="B22" s="2" t="s">
        <v>1663</v>
      </c>
      <c r="C22" s="3">
        <v>1</v>
      </c>
      <c r="D22" s="6">
        <v>39.99</v>
      </c>
      <c r="E22" s="3" t="s">
        <v>1664</v>
      </c>
      <c r="F22" s="2" t="s">
        <v>2640</v>
      </c>
      <c r="G22" s="7" t="s">
        <v>3039</v>
      </c>
      <c r="H22" s="2" t="s">
        <v>2984</v>
      </c>
      <c r="I22" s="2" t="s">
        <v>3059</v>
      </c>
      <c r="J22" s="2" t="s">
        <v>2361</v>
      </c>
      <c r="K22" s="2"/>
      <c r="L22" s="8" t="str">
        <f>HYPERLINK("http://slimages.macys.com/is/image/MCY/8820079 ")</f>
        <v xml:space="preserve">http://slimages.macys.com/is/image/MCY/8820079 </v>
      </c>
    </row>
    <row r="23" spans="1:12" ht="30" customHeight="1" x14ac:dyDescent="0.25">
      <c r="A23" s="5" t="s">
        <v>1665</v>
      </c>
      <c r="B23" s="2" t="s">
        <v>1666</v>
      </c>
      <c r="C23" s="3">
        <v>1</v>
      </c>
      <c r="D23" s="6">
        <v>49.99</v>
      </c>
      <c r="E23" s="3">
        <v>20557022</v>
      </c>
      <c r="F23" s="2" t="s">
        <v>3024</v>
      </c>
      <c r="G23" s="7"/>
      <c r="H23" s="2" t="s">
        <v>2359</v>
      </c>
      <c r="I23" s="2" t="s">
        <v>2447</v>
      </c>
      <c r="J23" s="2" t="s">
        <v>2361</v>
      </c>
      <c r="K23" s="2" t="s">
        <v>2607</v>
      </c>
      <c r="L23" s="8" t="str">
        <f>HYPERLINK("http://slimages.macys.com/is/image/MCY/11792503 ")</f>
        <v xml:space="preserve">http://slimages.macys.com/is/image/MCY/11792503 </v>
      </c>
    </row>
    <row r="24" spans="1:12" ht="30" customHeight="1" x14ac:dyDescent="0.25">
      <c r="A24" s="5" t="s">
        <v>1667</v>
      </c>
      <c r="B24" s="2" t="s">
        <v>1668</v>
      </c>
      <c r="C24" s="3">
        <v>1</v>
      </c>
      <c r="D24" s="6">
        <v>34.99</v>
      </c>
      <c r="E24" s="3" t="s">
        <v>1669</v>
      </c>
      <c r="F24" s="2" t="s">
        <v>2440</v>
      </c>
      <c r="G24" s="7" t="s">
        <v>2483</v>
      </c>
      <c r="H24" s="2" t="s">
        <v>2419</v>
      </c>
      <c r="I24" s="2" t="s">
        <v>2406</v>
      </c>
      <c r="J24" s="2" t="s">
        <v>2361</v>
      </c>
      <c r="K24" s="2" t="s">
        <v>2484</v>
      </c>
      <c r="L24" s="8" t="str">
        <f>HYPERLINK("http://slimages.macys.com/is/image/MCY/8810083 ")</f>
        <v xml:space="preserve">http://slimages.macys.com/is/image/MCY/8810083 </v>
      </c>
    </row>
    <row r="25" spans="1:12" ht="30" customHeight="1" x14ac:dyDescent="0.25">
      <c r="A25" s="5" t="s">
        <v>2485</v>
      </c>
      <c r="B25" s="2" t="s">
        <v>2486</v>
      </c>
      <c r="C25" s="3">
        <v>1</v>
      </c>
      <c r="D25" s="6">
        <v>29.99</v>
      </c>
      <c r="E25" s="3" t="s">
        <v>2487</v>
      </c>
      <c r="F25" s="2" t="s">
        <v>2488</v>
      </c>
      <c r="G25" s="7" t="s">
        <v>2489</v>
      </c>
      <c r="H25" s="2" t="s">
        <v>2419</v>
      </c>
      <c r="I25" s="2" t="s">
        <v>2406</v>
      </c>
      <c r="J25" s="2" t="s">
        <v>2361</v>
      </c>
      <c r="K25" s="2" t="s">
        <v>2490</v>
      </c>
      <c r="L25" s="8" t="str">
        <f>HYPERLINK("http://slimages.macys.com/is/image/MCY/9602270 ")</f>
        <v xml:space="preserve">http://slimages.macys.com/is/image/MCY/9602270 </v>
      </c>
    </row>
    <row r="26" spans="1:12" ht="30" customHeight="1" x14ac:dyDescent="0.25">
      <c r="A26" s="5" t="s">
        <v>1166</v>
      </c>
      <c r="B26" s="2" t="s">
        <v>1164</v>
      </c>
      <c r="C26" s="3">
        <v>1</v>
      </c>
      <c r="D26" s="6">
        <v>24.99</v>
      </c>
      <c r="E26" s="3" t="s">
        <v>1167</v>
      </c>
      <c r="F26" s="2" t="s">
        <v>2517</v>
      </c>
      <c r="G26" s="7"/>
      <c r="H26" s="2" t="s">
        <v>2419</v>
      </c>
      <c r="I26" s="2" t="s">
        <v>1060</v>
      </c>
      <c r="J26" s="2" t="s">
        <v>2361</v>
      </c>
      <c r="K26" s="2"/>
      <c r="L26" s="8" t="str">
        <f>HYPERLINK("http://slimages.macys.com/is/image/MCY/15383511 ")</f>
        <v xml:space="preserve">http://slimages.macys.com/is/image/MCY/15383511 </v>
      </c>
    </row>
    <row r="27" spans="1:12" ht="30" customHeight="1" x14ac:dyDescent="0.25">
      <c r="A27" s="5" t="s">
        <v>1163</v>
      </c>
      <c r="B27" s="2" t="s">
        <v>1164</v>
      </c>
      <c r="C27" s="3">
        <v>3</v>
      </c>
      <c r="D27" s="6">
        <v>24.99</v>
      </c>
      <c r="E27" s="3" t="s">
        <v>1165</v>
      </c>
      <c r="F27" s="2" t="s">
        <v>2605</v>
      </c>
      <c r="G27" s="7"/>
      <c r="H27" s="2" t="s">
        <v>2419</v>
      </c>
      <c r="I27" s="2" t="s">
        <v>1060</v>
      </c>
      <c r="J27" s="2" t="s">
        <v>2361</v>
      </c>
      <c r="K27" s="2"/>
      <c r="L27" s="8" t="str">
        <f>HYPERLINK("http://slimages.macys.com/is/image/MCY/15383511 ")</f>
        <v xml:space="preserve">http://slimages.macys.com/is/image/MCY/15383511 </v>
      </c>
    </row>
    <row r="28" spans="1:12" ht="30" customHeight="1" x14ac:dyDescent="0.25">
      <c r="A28" s="5" t="s">
        <v>2870</v>
      </c>
      <c r="B28" s="2" t="s">
        <v>2871</v>
      </c>
      <c r="C28" s="3">
        <v>7</v>
      </c>
      <c r="D28" s="6">
        <v>24.99</v>
      </c>
      <c r="E28" s="3" t="s">
        <v>2872</v>
      </c>
      <c r="F28" s="2" t="s">
        <v>2381</v>
      </c>
      <c r="G28" s="7"/>
      <c r="H28" s="2" t="s">
        <v>2419</v>
      </c>
      <c r="I28" s="2" t="s">
        <v>2406</v>
      </c>
      <c r="J28" s="2" t="s">
        <v>2361</v>
      </c>
      <c r="K28" s="2"/>
      <c r="L28" s="8" t="str">
        <f>HYPERLINK("http://slimages.macys.com/is/image/MCY/10010840 ")</f>
        <v xml:space="preserve">http://slimages.macys.com/is/image/MCY/10010840 </v>
      </c>
    </row>
    <row r="29" spans="1:12" ht="30" customHeight="1" x14ac:dyDescent="0.25">
      <c r="A29" s="5" t="s">
        <v>1670</v>
      </c>
      <c r="B29" s="2" t="s">
        <v>1671</v>
      </c>
      <c r="C29" s="3">
        <v>1</v>
      </c>
      <c r="D29" s="6">
        <v>19.989999999999998</v>
      </c>
      <c r="E29" s="3" t="s">
        <v>1672</v>
      </c>
      <c r="F29" s="2" t="s">
        <v>2381</v>
      </c>
      <c r="G29" s="7" t="s">
        <v>2518</v>
      </c>
      <c r="H29" s="2" t="s">
        <v>2419</v>
      </c>
      <c r="I29" s="2" t="s">
        <v>2406</v>
      </c>
      <c r="J29" s="2" t="s">
        <v>2361</v>
      </c>
      <c r="K29" s="2" t="s">
        <v>1290</v>
      </c>
      <c r="L29" s="8" t="str">
        <f>HYPERLINK("http://slimages.macys.com/is/image/MCY/9613896 ")</f>
        <v xml:space="preserve">http://slimages.macys.com/is/image/MCY/9613896 </v>
      </c>
    </row>
    <row r="30" spans="1:12" ht="30" customHeight="1" x14ac:dyDescent="0.25">
      <c r="A30" s="5" t="s">
        <v>1673</v>
      </c>
      <c r="B30" s="2" t="s">
        <v>1674</v>
      </c>
      <c r="C30" s="3">
        <v>10</v>
      </c>
      <c r="D30" s="6">
        <v>24.99</v>
      </c>
      <c r="E30" s="3" t="s">
        <v>1675</v>
      </c>
      <c r="F30" s="2" t="s">
        <v>2517</v>
      </c>
      <c r="G30" s="7"/>
      <c r="H30" s="2" t="s">
        <v>2419</v>
      </c>
      <c r="I30" s="2" t="s">
        <v>2406</v>
      </c>
      <c r="J30" s="2" t="s">
        <v>2361</v>
      </c>
      <c r="K30" s="2" t="s">
        <v>2831</v>
      </c>
      <c r="L30" s="8" t="str">
        <f>HYPERLINK("http://slimages.macys.com/is/image/MCY/9964171 ")</f>
        <v xml:space="preserve">http://slimages.macys.com/is/image/MCY/9964171 </v>
      </c>
    </row>
    <row r="31" spans="1:12" ht="30" customHeight="1" x14ac:dyDescent="0.25">
      <c r="A31" s="5" t="s">
        <v>1676</v>
      </c>
      <c r="B31" s="2" t="s">
        <v>1677</v>
      </c>
      <c r="C31" s="3">
        <v>1</v>
      </c>
      <c r="D31" s="6">
        <v>19.989999999999998</v>
      </c>
      <c r="E31" s="3" t="s">
        <v>1678</v>
      </c>
      <c r="F31" s="2" t="s">
        <v>3038</v>
      </c>
      <c r="G31" s="7"/>
      <c r="H31" s="2" t="s">
        <v>2459</v>
      </c>
      <c r="I31" s="2" t="s">
        <v>2507</v>
      </c>
      <c r="J31" s="2" t="s">
        <v>2361</v>
      </c>
      <c r="K31" s="2" t="s">
        <v>2508</v>
      </c>
      <c r="L31" s="8" t="str">
        <f>HYPERLINK("http://slimages.macys.com/is/image/MCY/9650267 ")</f>
        <v xml:space="preserve">http://slimages.macys.com/is/image/MCY/9650267 </v>
      </c>
    </row>
    <row r="32" spans="1:12" ht="30" customHeight="1" x14ac:dyDescent="0.25">
      <c r="A32" s="5" t="s">
        <v>1448</v>
      </c>
      <c r="B32" s="2" t="s">
        <v>1449</v>
      </c>
      <c r="C32" s="3">
        <v>1</v>
      </c>
      <c r="D32" s="6">
        <v>14.99</v>
      </c>
      <c r="E32" s="3">
        <v>20045</v>
      </c>
      <c r="F32" s="2" t="s">
        <v>2374</v>
      </c>
      <c r="G32" s="7"/>
      <c r="H32" s="2" t="s">
        <v>2412</v>
      </c>
      <c r="I32" s="2" t="s">
        <v>2823</v>
      </c>
      <c r="J32" s="2" t="s">
        <v>2361</v>
      </c>
      <c r="K32" s="2" t="s">
        <v>1450</v>
      </c>
      <c r="L32" s="8" t="str">
        <f>HYPERLINK("http://slimages.macys.com/is/image/MCY/11531693 ")</f>
        <v xml:space="preserve">http://slimages.macys.com/is/image/MCY/11531693 </v>
      </c>
    </row>
    <row r="33" spans="1:12" ht="30" customHeight="1" x14ac:dyDescent="0.25">
      <c r="A33" s="5" t="s">
        <v>1679</v>
      </c>
      <c r="B33" s="2" t="s">
        <v>1680</v>
      </c>
      <c r="C33" s="3">
        <v>3</v>
      </c>
      <c r="D33" s="6">
        <v>9.99</v>
      </c>
      <c r="E33" s="3" t="s">
        <v>1681</v>
      </c>
      <c r="F33" s="2" t="s">
        <v>2374</v>
      </c>
      <c r="G33" s="7"/>
      <c r="H33" s="2" t="s">
        <v>2446</v>
      </c>
      <c r="I33" s="2" t="s">
        <v>2547</v>
      </c>
      <c r="J33" s="2" t="s">
        <v>2361</v>
      </c>
      <c r="K33" s="2" t="s">
        <v>2924</v>
      </c>
      <c r="L33" s="8" t="str">
        <f>HYPERLINK("http://slimages.macys.com/is/image/MCY/9977746 ")</f>
        <v xml:space="preserve">http://slimages.macys.com/is/image/MCY/9977746 </v>
      </c>
    </row>
    <row r="34" spans="1:12" ht="30" customHeight="1" x14ac:dyDescent="0.25">
      <c r="A34" s="5" t="s">
        <v>1682</v>
      </c>
      <c r="B34" s="2" t="s">
        <v>1683</v>
      </c>
      <c r="C34" s="3">
        <v>3</v>
      </c>
      <c r="D34" s="6">
        <v>9.99</v>
      </c>
      <c r="E34" s="3" t="s">
        <v>1684</v>
      </c>
      <c r="F34" s="2" t="s">
        <v>2374</v>
      </c>
      <c r="G34" s="7"/>
      <c r="H34" s="2" t="s">
        <v>2446</v>
      </c>
      <c r="I34" s="2" t="s">
        <v>2547</v>
      </c>
      <c r="J34" s="2" t="s">
        <v>2361</v>
      </c>
      <c r="K34" s="2" t="s">
        <v>2924</v>
      </c>
      <c r="L34" s="8" t="str">
        <f>HYPERLINK("http://slimages.macys.com/is/image/MCY/9977746 ")</f>
        <v xml:space="preserve">http://slimages.macys.com/is/image/MCY/9977746 </v>
      </c>
    </row>
    <row r="35" spans="1:12" ht="30" customHeight="1" x14ac:dyDescent="0.25">
      <c r="A35" s="5" t="s">
        <v>1685</v>
      </c>
      <c r="B35" s="2" t="s">
        <v>1686</v>
      </c>
      <c r="C35" s="3">
        <v>2</v>
      </c>
      <c r="D35" s="6">
        <v>9.99</v>
      </c>
      <c r="E35" s="3" t="s">
        <v>1687</v>
      </c>
      <c r="F35" s="2" t="s">
        <v>2374</v>
      </c>
      <c r="G35" s="7"/>
      <c r="H35" s="2" t="s">
        <v>2446</v>
      </c>
      <c r="I35" s="2" t="s">
        <v>2547</v>
      </c>
      <c r="J35" s="2" t="s">
        <v>2361</v>
      </c>
      <c r="K35" s="2" t="s">
        <v>2924</v>
      </c>
      <c r="L35" s="8" t="str">
        <f>HYPERLINK("http://slimages.macys.com/is/image/MCY/9977746 ")</f>
        <v xml:space="preserve">http://slimages.macys.com/is/image/MCY/9977746 </v>
      </c>
    </row>
    <row r="36" spans="1:12" ht="30" customHeight="1" x14ac:dyDescent="0.25">
      <c r="A36" s="5" t="s">
        <v>1688</v>
      </c>
      <c r="B36" s="2" t="s">
        <v>1689</v>
      </c>
      <c r="C36" s="3">
        <v>1</v>
      </c>
      <c r="D36" s="6">
        <v>9.99</v>
      </c>
      <c r="E36" s="3" t="s">
        <v>1690</v>
      </c>
      <c r="F36" s="2" t="s">
        <v>2374</v>
      </c>
      <c r="G36" s="7"/>
      <c r="H36" s="2" t="s">
        <v>2446</v>
      </c>
      <c r="I36" s="2" t="s">
        <v>2547</v>
      </c>
      <c r="J36" s="2" t="s">
        <v>2361</v>
      </c>
      <c r="K36" s="2" t="s">
        <v>2924</v>
      </c>
      <c r="L36" s="8" t="str">
        <f>HYPERLINK("http://slimages.macys.com/is/image/MCY/9977746 ")</f>
        <v xml:space="preserve">http://slimages.macys.com/is/image/MCY/9977746 </v>
      </c>
    </row>
    <row r="37" spans="1:12" ht="30" customHeight="1" x14ac:dyDescent="0.25">
      <c r="A37" s="5" t="s">
        <v>2921</v>
      </c>
      <c r="B37" s="2" t="s">
        <v>2922</v>
      </c>
      <c r="C37" s="3">
        <v>2</v>
      </c>
      <c r="D37" s="6">
        <v>9.99</v>
      </c>
      <c r="E37" s="3" t="s">
        <v>2923</v>
      </c>
      <c r="F37" s="2" t="s">
        <v>2374</v>
      </c>
      <c r="G37" s="7"/>
      <c r="H37" s="2" t="s">
        <v>2446</v>
      </c>
      <c r="I37" s="2" t="s">
        <v>2547</v>
      </c>
      <c r="J37" s="2" t="s">
        <v>2361</v>
      </c>
      <c r="K37" s="2" t="s">
        <v>2924</v>
      </c>
      <c r="L37" s="8" t="str">
        <f>HYPERLINK("http://slimages.macys.com/is/image/MCY/9977746 ")</f>
        <v xml:space="preserve">http://slimages.macys.com/is/image/MCY/9977746 </v>
      </c>
    </row>
    <row r="38" spans="1:12" ht="30" customHeight="1" x14ac:dyDescent="0.25">
      <c r="A38" s="5" t="s">
        <v>1691</v>
      </c>
      <c r="B38" s="2" t="s">
        <v>1692</v>
      </c>
      <c r="C38" s="3">
        <v>1</v>
      </c>
      <c r="D38" s="6">
        <v>5.99</v>
      </c>
      <c r="E38" s="3" t="s">
        <v>1693</v>
      </c>
      <c r="F38" s="2" t="s">
        <v>2622</v>
      </c>
      <c r="G38" s="7" t="s">
        <v>2553</v>
      </c>
      <c r="H38" s="2" t="s">
        <v>2459</v>
      </c>
      <c r="I38" s="2" t="s">
        <v>1694</v>
      </c>
      <c r="J38" s="2" t="s">
        <v>2361</v>
      </c>
      <c r="K38" s="2" t="s">
        <v>2397</v>
      </c>
      <c r="L38" s="8" t="str">
        <f>HYPERLINK("http://slimages.macys.com/is/image/MCY/1283301 ")</f>
        <v xml:space="preserve">http://slimages.macys.com/is/image/MCY/1283301 </v>
      </c>
    </row>
    <row r="39" spans="1:12" ht="30" customHeight="1" x14ac:dyDescent="0.25">
      <c r="A39" s="5" t="s">
        <v>1695</v>
      </c>
      <c r="B39" s="2" t="s">
        <v>1696</v>
      </c>
      <c r="C39" s="3">
        <v>1</v>
      </c>
      <c r="D39" s="6">
        <v>9.99</v>
      </c>
      <c r="E39" s="3" t="s">
        <v>1697</v>
      </c>
      <c r="F39" s="2" t="s">
        <v>2374</v>
      </c>
      <c r="G39" s="7"/>
      <c r="H39" s="2" t="s">
        <v>2459</v>
      </c>
      <c r="I39" s="2" t="s">
        <v>2547</v>
      </c>
      <c r="J39" s="2"/>
      <c r="K39" s="2"/>
      <c r="L39" s="8"/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defaultRowHeight="15" x14ac:dyDescent="0.25"/>
  <cols>
    <col min="1" max="1" width="14.28515625" customWidth="1"/>
    <col min="2" max="2" width="22.2851562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24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24.75" x14ac:dyDescent="0.25">
      <c r="A2" s="5" t="s">
        <v>1698</v>
      </c>
      <c r="B2" s="2" t="s">
        <v>1699</v>
      </c>
      <c r="C2" s="3">
        <v>1</v>
      </c>
      <c r="D2" s="6">
        <v>289.99</v>
      </c>
      <c r="E2" s="3" t="s">
        <v>1700</v>
      </c>
      <c r="F2" s="2" t="s">
        <v>2464</v>
      </c>
      <c r="G2" s="7"/>
      <c r="H2" s="2" t="s">
        <v>2465</v>
      </c>
      <c r="I2" s="2" t="s">
        <v>2954</v>
      </c>
      <c r="J2" s="2" t="s">
        <v>2361</v>
      </c>
      <c r="K2" s="2" t="s">
        <v>1701</v>
      </c>
      <c r="L2" s="8" t="str">
        <f>HYPERLINK("http://slimages.macys.com/is/image/MCY/9375088 ")</f>
        <v xml:space="preserve">http://slimages.macys.com/is/image/MCY/9375088 </v>
      </c>
    </row>
    <row r="3" spans="1:12" ht="36.75" x14ac:dyDescent="0.25">
      <c r="A3" s="5" t="s">
        <v>1702</v>
      </c>
      <c r="B3" s="2" t="s">
        <v>1703</v>
      </c>
      <c r="C3" s="3">
        <v>1</v>
      </c>
      <c r="D3" s="6">
        <v>220.99</v>
      </c>
      <c r="E3" s="3" t="s">
        <v>1704</v>
      </c>
      <c r="F3" s="2" t="s">
        <v>2517</v>
      </c>
      <c r="G3" s="7"/>
      <c r="H3" s="2" t="s">
        <v>2359</v>
      </c>
      <c r="I3" s="2" t="s">
        <v>2406</v>
      </c>
      <c r="J3" s="2" t="s">
        <v>2361</v>
      </c>
      <c r="K3" s="2" t="s">
        <v>2566</v>
      </c>
      <c r="L3" s="8" t="str">
        <f>HYPERLINK("http://slimages.macys.com/is/image/MCY/9803586 ")</f>
        <v xml:space="preserve">http://slimages.macys.com/is/image/MCY/9803586 </v>
      </c>
    </row>
    <row r="4" spans="1:12" ht="24.75" x14ac:dyDescent="0.25">
      <c r="A4" s="5" t="s">
        <v>1705</v>
      </c>
      <c r="B4" s="2" t="s">
        <v>1706</v>
      </c>
      <c r="C4" s="3">
        <v>1</v>
      </c>
      <c r="D4" s="6">
        <v>220.99</v>
      </c>
      <c r="E4" s="3" t="s">
        <v>1707</v>
      </c>
      <c r="F4" s="2" t="s">
        <v>3238</v>
      </c>
      <c r="G4" s="7"/>
      <c r="H4" s="2" t="s">
        <v>2419</v>
      </c>
      <c r="I4" s="2" t="s">
        <v>1708</v>
      </c>
      <c r="J4" s="2" t="s">
        <v>2361</v>
      </c>
      <c r="K4" s="2" t="s">
        <v>2508</v>
      </c>
      <c r="L4" s="8" t="str">
        <f>HYPERLINK("http://slimages.macys.com/is/image/MCY/15398767 ")</f>
        <v xml:space="preserve">http://slimages.macys.com/is/image/MCY/15398767 </v>
      </c>
    </row>
    <row r="5" spans="1:12" ht="24.75" x14ac:dyDescent="0.25">
      <c r="A5" s="5" t="s">
        <v>1709</v>
      </c>
      <c r="B5" s="2" t="s">
        <v>1710</v>
      </c>
      <c r="C5" s="3">
        <v>1</v>
      </c>
      <c r="D5" s="6">
        <v>179.99</v>
      </c>
      <c r="E5" s="3" t="s">
        <v>1711</v>
      </c>
      <c r="F5" s="2" t="s">
        <v>2622</v>
      </c>
      <c r="G5" s="7"/>
      <c r="H5" s="2" t="s">
        <v>2359</v>
      </c>
      <c r="I5" s="2" t="s">
        <v>2406</v>
      </c>
      <c r="J5" s="2" t="s">
        <v>2361</v>
      </c>
      <c r="K5" s="2"/>
      <c r="L5" s="8" t="str">
        <f>HYPERLINK("http://slimages.macys.com/is/image/MCY/9025543 ")</f>
        <v xml:space="preserve">http://slimages.macys.com/is/image/MCY/9025543 </v>
      </c>
    </row>
    <row r="6" spans="1:12" ht="24.75" x14ac:dyDescent="0.25">
      <c r="A6" s="5" t="s">
        <v>1712</v>
      </c>
      <c r="B6" s="2" t="s">
        <v>1713</v>
      </c>
      <c r="C6" s="3">
        <v>1</v>
      </c>
      <c r="D6" s="6">
        <v>149.99</v>
      </c>
      <c r="E6" s="3">
        <v>18171224</v>
      </c>
      <c r="F6" s="2" t="s">
        <v>2536</v>
      </c>
      <c r="G6" s="7"/>
      <c r="H6" s="2" t="s">
        <v>2359</v>
      </c>
      <c r="I6" s="2" t="s">
        <v>2447</v>
      </c>
      <c r="J6" s="2" t="s">
        <v>2361</v>
      </c>
      <c r="K6" s="2"/>
      <c r="L6" s="8" t="str">
        <f>HYPERLINK("http://slimages.macys.com/is/image/MCY/9092556 ")</f>
        <v xml:space="preserve">http://slimages.macys.com/is/image/MCY/9092556 </v>
      </c>
    </row>
    <row r="7" spans="1:12" ht="36.75" x14ac:dyDescent="0.25">
      <c r="A7" s="5" t="s">
        <v>1714</v>
      </c>
      <c r="B7" s="2" t="s">
        <v>1715</v>
      </c>
      <c r="C7" s="3">
        <v>1</v>
      </c>
      <c r="D7" s="6">
        <v>163.99</v>
      </c>
      <c r="E7" s="3" t="s">
        <v>1716</v>
      </c>
      <c r="F7" s="2" t="s">
        <v>2366</v>
      </c>
      <c r="G7" s="7" t="s">
        <v>2606</v>
      </c>
      <c r="H7" s="2" t="s">
        <v>2359</v>
      </c>
      <c r="I7" s="2" t="s">
        <v>1232</v>
      </c>
      <c r="J7" s="2" t="s">
        <v>2361</v>
      </c>
      <c r="K7" s="2" t="s">
        <v>1717</v>
      </c>
      <c r="L7" s="8" t="str">
        <f>HYPERLINK("http://slimages.macys.com/is/image/MCY/11295834 ")</f>
        <v xml:space="preserve">http://slimages.macys.com/is/image/MCY/11295834 </v>
      </c>
    </row>
    <row r="8" spans="1:12" ht="24.75" x14ac:dyDescent="0.25">
      <c r="A8" s="5" t="s">
        <v>1718</v>
      </c>
      <c r="B8" s="2" t="s">
        <v>1719</v>
      </c>
      <c r="C8" s="3">
        <v>1</v>
      </c>
      <c r="D8" s="6">
        <v>129.99</v>
      </c>
      <c r="E8" s="3" t="s">
        <v>1720</v>
      </c>
      <c r="F8" s="2" t="s">
        <v>1721</v>
      </c>
      <c r="G8" s="7"/>
      <c r="H8" s="2" t="s">
        <v>2359</v>
      </c>
      <c r="I8" s="2" t="s">
        <v>2406</v>
      </c>
      <c r="J8" s="2" t="s">
        <v>2361</v>
      </c>
      <c r="K8" s="2" t="s">
        <v>2377</v>
      </c>
      <c r="L8" s="8" t="str">
        <f>HYPERLINK("http://slimages.macys.com/is/image/MCY/8930319 ")</f>
        <v xml:space="preserve">http://slimages.macys.com/is/image/MCY/8930319 </v>
      </c>
    </row>
    <row r="9" spans="1:12" ht="24.75" x14ac:dyDescent="0.25">
      <c r="A9" s="5" t="s">
        <v>1722</v>
      </c>
      <c r="B9" s="2" t="s">
        <v>1723</v>
      </c>
      <c r="C9" s="3">
        <v>1</v>
      </c>
      <c r="D9" s="6">
        <v>156.99</v>
      </c>
      <c r="E9" s="3" t="s">
        <v>1724</v>
      </c>
      <c r="F9" s="2" t="s">
        <v>1725</v>
      </c>
      <c r="G9" s="7"/>
      <c r="H9" s="2" t="s">
        <v>2419</v>
      </c>
      <c r="I9" s="2" t="s">
        <v>2406</v>
      </c>
      <c r="J9" s="2" t="s">
        <v>2361</v>
      </c>
      <c r="K9" s="2" t="s">
        <v>2656</v>
      </c>
      <c r="L9" s="8" t="str">
        <f>HYPERLINK("http://slimages.macys.com/is/image/MCY/11825412 ")</f>
        <v xml:space="preserve">http://slimages.macys.com/is/image/MCY/11825412 </v>
      </c>
    </row>
    <row r="10" spans="1:12" ht="48.75" x14ac:dyDescent="0.25">
      <c r="A10" s="5" t="s">
        <v>1726</v>
      </c>
      <c r="B10" s="2" t="s">
        <v>1727</v>
      </c>
      <c r="C10" s="3">
        <v>1</v>
      </c>
      <c r="D10" s="6">
        <v>119.99</v>
      </c>
      <c r="E10" s="3" t="s">
        <v>1728</v>
      </c>
      <c r="F10" s="2" t="s">
        <v>2582</v>
      </c>
      <c r="G10" s="7"/>
      <c r="H10" s="2" t="s">
        <v>2984</v>
      </c>
      <c r="I10" s="2" t="s">
        <v>2985</v>
      </c>
      <c r="J10" s="2" t="s">
        <v>2432</v>
      </c>
      <c r="K10" s="2" t="s">
        <v>3321</v>
      </c>
      <c r="L10" s="8" t="str">
        <f>HYPERLINK("http://slimages.macys.com/is/image/MCY/9936616 ")</f>
        <v xml:space="preserve">http://slimages.macys.com/is/image/MCY/9936616 </v>
      </c>
    </row>
    <row r="11" spans="1:12" ht="24.75" x14ac:dyDescent="0.25">
      <c r="A11" s="5" t="s">
        <v>1729</v>
      </c>
      <c r="B11" s="2" t="s">
        <v>1730</v>
      </c>
      <c r="C11" s="3">
        <v>1</v>
      </c>
      <c r="D11" s="6">
        <v>91.99</v>
      </c>
      <c r="E11" s="3" t="s">
        <v>1731</v>
      </c>
      <c r="F11" s="2" t="s">
        <v>2597</v>
      </c>
      <c r="G11" s="7" t="s">
        <v>2367</v>
      </c>
      <c r="H11" s="2" t="s">
        <v>2359</v>
      </c>
      <c r="I11" s="2" t="s">
        <v>2383</v>
      </c>
      <c r="J11" s="2" t="s">
        <v>2361</v>
      </c>
      <c r="K11" s="2" t="s">
        <v>2377</v>
      </c>
      <c r="L11" s="8" t="str">
        <f>HYPERLINK("http://slimages.macys.com/is/image/MCY/11181163 ")</f>
        <v xml:space="preserve">http://slimages.macys.com/is/image/MCY/11181163 </v>
      </c>
    </row>
    <row r="12" spans="1:12" ht="24.75" x14ac:dyDescent="0.25">
      <c r="A12" s="5" t="s">
        <v>1732</v>
      </c>
      <c r="B12" s="2" t="s">
        <v>1733</v>
      </c>
      <c r="C12" s="3">
        <v>1</v>
      </c>
      <c r="D12" s="6">
        <v>79.989999999999995</v>
      </c>
      <c r="E12" s="3" t="s">
        <v>1734</v>
      </c>
      <c r="F12" s="2" t="s">
        <v>2418</v>
      </c>
      <c r="G12" s="7"/>
      <c r="H12" s="2" t="s">
        <v>2395</v>
      </c>
      <c r="I12" s="2" t="s">
        <v>2396</v>
      </c>
      <c r="J12" s="2" t="s">
        <v>2432</v>
      </c>
      <c r="K12" s="2" t="s">
        <v>1735</v>
      </c>
      <c r="L12" s="8" t="str">
        <f>HYPERLINK("http://slimages.macys.com/is/image/MCY/15787487 ")</f>
        <v xml:space="preserve">http://slimages.macys.com/is/image/MCY/15787487 </v>
      </c>
    </row>
    <row r="13" spans="1:12" ht="48.75" x14ac:dyDescent="0.25">
      <c r="A13" s="5" t="s">
        <v>1736</v>
      </c>
      <c r="B13" s="2" t="s">
        <v>2975</v>
      </c>
      <c r="C13" s="3">
        <v>1</v>
      </c>
      <c r="D13" s="6">
        <v>74.989999999999995</v>
      </c>
      <c r="E13" s="3" t="s">
        <v>1737</v>
      </c>
      <c r="F13" s="2" t="s">
        <v>2374</v>
      </c>
      <c r="G13" s="7" t="s">
        <v>3028</v>
      </c>
      <c r="H13" s="2" t="s">
        <v>2412</v>
      </c>
      <c r="I13" s="2" t="s">
        <v>2788</v>
      </c>
      <c r="J13" s="2" t="s">
        <v>2361</v>
      </c>
      <c r="K13" s="2" t="s">
        <v>1738</v>
      </c>
      <c r="L13" s="8" t="str">
        <f>HYPERLINK("http://slimages.macys.com/is/image/MCY/11798796 ")</f>
        <v xml:space="preserve">http://slimages.macys.com/is/image/MCY/11798796 </v>
      </c>
    </row>
    <row r="14" spans="1:12" ht="24.75" x14ac:dyDescent="0.25">
      <c r="A14" s="5" t="s">
        <v>1739</v>
      </c>
      <c r="B14" s="2" t="s">
        <v>1740</v>
      </c>
      <c r="C14" s="3">
        <v>2</v>
      </c>
      <c r="D14" s="6">
        <v>89.99</v>
      </c>
      <c r="E14" s="3" t="s">
        <v>1741</v>
      </c>
      <c r="F14" s="2" t="s">
        <v>2358</v>
      </c>
      <c r="G14" s="7"/>
      <c r="H14" s="2" t="s">
        <v>2984</v>
      </c>
      <c r="I14" s="2" t="s">
        <v>1742</v>
      </c>
      <c r="J14" s="2" t="s">
        <v>2361</v>
      </c>
      <c r="K14" s="2"/>
      <c r="L14" s="8" t="str">
        <f>HYPERLINK("http://slimages.macys.com/is/image/MCY/8336661 ")</f>
        <v xml:space="preserve">http://slimages.macys.com/is/image/MCY/8336661 </v>
      </c>
    </row>
    <row r="15" spans="1:12" ht="36.75" x14ac:dyDescent="0.25">
      <c r="A15" s="5" t="s">
        <v>1743</v>
      </c>
      <c r="B15" s="2" t="s">
        <v>1744</v>
      </c>
      <c r="C15" s="3">
        <v>1</v>
      </c>
      <c r="D15" s="6">
        <v>84.99</v>
      </c>
      <c r="E15" s="3" t="s">
        <v>1745</v>
      </c>
      <c r="F15" s="2" t="s">
        <v>2366</v>
      </c>
      <c r="G15" s="7"/>
      <c r="H15" s="2" t="s">
        <v>2359</v>
      </c>
      <c r="I15" s="2" t="s">
        <v>1746</v>
      </c>
      <c r="J15" s="2" t="s">
        <v>2361</v>
      </c>
      <c r="K15" s="2" t="s">
        <v>1747</v>
      </c>
      <c r="L15" s="8" t="str">
        <f>HYPERLINK("http://slimages.macys.com/is/image/MCY/12677373 ")</f>
        <v xml:space="preserve">http://slimages.macys.com/is/image/MCY/12677373 </v>
      </c>
    </row>
    <row r="16" spans="1:12" ht="24.75" x14ac:dyDescent="0.25">
      <c r="A16" s="5" t="s">
        <v>1748</v>
      </c>
      <c r="B16" s="2" t="s">
        <v>1749</v>
      </c>
      <c r="C16" s="3">
        <v>1</v>
      </c>
      <c r="D16" s="6">
        <v>69.989999999999995</v>
      </c>
      <c r="E16" s="3" t="s">
        <v>1750</v>
      </c>
      <c r="F16" s="2" t="s">
        <v>3547</v>
      </c>
      <c r="G16" s="7"/>
      <c r="H16" s="2" t="s">
        <v>2359</v>
      </c>
      <c r="I16" s="2" t="s">
        <v>2406</v>
      </c>
      <c r="J16" s="2" t="s">
        <v>2361</v>
      </c>
      <c r="K16" s="2" t="s">
        <v>2377</v>
      </c>
      <c r="L16" s="8" t="str">
        <f>HYPERLINK("http://slimages.macys.com/is/image/MCY/9492555 ")</f>
        <v xml:space="preserve">http://slimages.macys.com/is/image/MCY/9492555 </v>
      </c>
    </row>
    <row r="17" spans="1:12" ht="24.75" x14ac:dyDescent="0.25">
      <c r="A17" s="5" t="s">
        <v>1751</v>
      </c>
      <c r="B17" s="2" t="s">
        <v>1752</v>
      </c>
      <c r="C17" s="3">
        <v>1</v>
      </c>
      <c r="D17" s="6">
        <v>74.989999999999995</v>
      </c>
      <c r="E17" s="3" t="s">
        <v>1753</v>
      </c>
      <c r="F17" s="2" t="s">
        <v>2597</v>
      </c>
      <c r="G17" s="7" t="s">
        <v>2478</v>
      </c>
      <c r="H17" s="2" t="s">
        <v>2473</v>
      </c>
      <c r="I17" s="2" t="s">
        <v>2479</v>
      </c>
      <c r="J17" s="2" t="s">
        <v>2361</v>
      </c>
      <c r="K17" s="2"/>
      <c r="L17" s="8" t="str">
        <f>HYPERLINK("http://slimages.macys.com/is/image/MCY/10233040 ")</f>
        <v xml:space="preserve">http://slimages.macys.com/is/image/MCY/10233040 </v>
      </c>
    </row>
    <row r="18" spans="1:12" ht="24.75" x14ac:dyDescent="0.25">
      <c r="A18" s="5" t="s">
        <v>1754</v>
      </c>
      <c r="B18" s="2" t="s">
        <v>1755</v>
      </c>
      <c r="C18" s="3">
        <v>1</v>
      </c>
      <c r="D18" s="6">
        <v>55.99</v>
      </c>
      <c r="E18" s="3" t="s">
        <v>1756</v>
      </c>
      <c r="F18" s="2" t="s">
        <v>2381</v>
      </c>
      <c r="G18" s="7"/>
      <c r="H18" s="2" t="s">
        <v>2359</v>
      </c>
      <c r="I18" s="2" t="s">
        <v>2406</v>
      </c>
      <c r="J18" s="2" t="s">
        <v>2361</v>
      </c>
      <c r="K18" s="2" t="s">
        <v>2607</v>
      </c>
      <c r="L18" s="8" t="str">
        <f>HYPERLINK("http://slimages.macys.com/is/image/MCY/9767722 ")</f>
        <v xml:space="preserve">http://slimages.macys.com/is/image/MCY/9767722 </v>
      </c>
    </row>
    <row r="19" spans="1:12" ht="24.75" x14ac:dyDescent="0.25">
      <c r="A19" s="5" t="s">
        <v>1757</v>
      </c>
      <c r="B19" s="2" t="s">
        <v>1758</v>
      </c>
      <c r="C19" s="3">
        <v>1</v>
      </c>
      <c r="D19" s="6">
        <v>49.99</v>
      </c>
      <c r="E19" s="3" t="s">
        <v>1759</v>
      </c>
      <c r="F19" s="2" t="s">
        <v>3485</v>
      </c>
      <c r="G19" s="7" t="s">
        <v>1509</v>
      </c>
      <c r="H19" s="2" t="s">
        <v>2375</v>
      </c>
      <c r="I19" s="2" t="s">
        <v>3446</v>
      </c>
      <c r="J19" s="2" t="s">
        <v>2361</v>
      </c>
      <c r="K19" s="2" t="s">
        <v>2656</v>
      </c>
      <c r="L19" s="8" t="str">
        <f>HYPERLINK("http://slimages.macys.com/is/image/MCY/10983053 ")</f>
        <v xml:space="preserve">http://slimages.macys.com/is/image/MCY/10983053 </v>
      </c>
    </row>
    <row r="20" spans="1:12" ht="24.75" x14ac:dyDescent="0.25">
      <c r="A20" s="5" t="s">
        <v>2475</v>
      </c>
      <c r="B20" s="2" t="s">
        <v>2476</v>
      </c>
      <c r="C20" s="3">
        <v>1</v>
      </c>
      <c r="D20" s="6">
        <v>59.99</v>
      </c>
      <c r="E20" s="3" t="s">
        <v>2477</v>
      </c>
      <c r="F20" s="2" t="s">
        <v>2440</v>
      </c>
      <c r="G20" s="7" t="s">
        <v>2478</v>
      </c>
      <c r="H20" s="2" t="s">
        <v>2473</v>
      </c>
      <c r="I20" s="2" t="s">
        <v>2479</v>
      </c>
      <c r="J20" s="2" t="s">
        <v>2361</v>
      </c>
      <c r="K20" s="2"/>
      <c r="L20" s="8" t="str">
        <f>HYPERLINK("http://slimages.macys.com/is/image/MCY/15202993 ")</f>
        <v xml:space="preserve">http://slimages.macys.com/is/image/MCY/15202993 </v>
      </c>
    </row>
    <row r="21" spans="1:12" ht="72.75" x14ac:dyDescent="0.25">
      <c r="A21" s="5" t="s">
        <v>1760</v>
      </c>
      <c r="B21" s="2" t="s">
        <v>1761</v>
      </c>
      <c r="C21" s="3">
        <v>1</v>
      </c>
      <c r="D21" s="6">
        <v>39.99</v>
      </c>
      <c r="E21" s="3" t="s">
        <v>1762</v>
      </c>
      <c r="F21" s="2" t="s">
        <v>2374</v>
      </c>
      <c r="G21" s="7"/>
      <c r="H21" s="2" t="s">
        <v>2419</v>
      </c>
      <c r="I21" s="2" t="s">
        <v>2406</v>
      </c>
      <c r="J21" s="2" t="s">
        <v>2361</v>
      </c>
      <c r="K21" s="2" t="s">
        <v>1763</v>
      </c>
      <c r="L21" s="8" t="str">
        <f>HYPERLINK("http://slimages.macys.com/is/image/MCY/8064912 ")</f>
        <v xml:space="preserve">http://slimages.macys.com/is/image/MCY/8064912 </v>
      </c>
    </row>
    <row r="22" spans="1:12" x14ac:dyDescent="0.25">
      <c r="A22" s="5" t="s">
        <v>1764</v>
      </c>
      <c r="B22" s="2" t="s">
        <v>1765</v>
      </c>
      <c r="C22" s="3">
        <v>3</v>
      </c>
      <c r="D22" s="6">
        <v>30</v>
      </c>
      <c r="E22" s="3" t="s">
        <v>1766</v>
      </c>
      <c r="F22" s="2" t="s">
        <v>2464</v>
      </c>
      <c r="G22" s="7"/>
      <c r="H22" s="2" t="s">
        <v>2446</v>
      </c>
      <c r="I22" s="2" t="s">
        <v>1767</v>
      </c>
      <c r="J22" s="2" t="s">
        <v>2432</v>
      </c>
      <c r="K22" s="2" t="s">
        <v>2377</v>
      </c>
      <c r="L22" s="8" t="str">
        <f>HYPERLINK("http://images.bloomingdales.com/is/image/BLM/10049150 ")</f>
        <v xml:space="preserve">http://images.bloomingdales.com/is/image/BLM/10049150 </v>
      </c>
    </row>
    <row r="23" spans="1:12" ht="36.75" x14ac:dyDescent="0.25">
      <c r="A23" s="5" t="s">
        <v>3205</v>
      </c>
      <c r="B23" s="2" t="s">
        <v>3206</v>
      </c>
      <c r="C23" s="3">
        <v>1</v>
      </c>
      <c r="D23" s="6">
        <v>39.99</v>
      </c>
      <c r="E23" s="3">
        <v>10002799800</v>
      </c>
      <c r="F23" s="2" t="s">
        <v>2440</v>
      </c>
      <c r="G23" s="7"/>
      <c r="H23" s="2" t="s">
        <v>2368</v>
      </c>
      <c r="I23" s="2" t="s">
        <v>2369</v>
      </c>
      <c r="J23" s="2" t="s">
        <v>2432</v>
      </c>
      <c r="K23" s="2" t="s">
        <v>3207</v>
      </c>
      <c r="L23" s="8" t="str">
        <f>HYPERLINK("http://slimages.macys.com/is/image/MCY/9629131 ")</f>
        <v xml:space="preserve">http://slimages.macys.com/is/image/MCY/9629131 </v>
      </c>
    </row>
    <row r="24" spans="1:12" ht="24.75" x14ac:dyDescent="0.25">
      <c r="A24" s="5" t="s">
        <v>1401</v>
      </c>
      <c r="B24" s="2" t="s">
        <v>1402</v>
      </c>
      <c r="C24" s="3">
        <v>1</v>
      </c>
      <c r="D24" s="6">
        <v>34.99</v>
      </c>
      <c r="E24" s="3" t="s">
        <v>1403</v>
      </c>
      <c r="F24" s="2" t="s">
        <v>2381</v>
      </c>
      <c r="G24" s="7"/>
      <c r="H24" s="2" t="s">
        <v>2419</v>
      </c>
      <c r="I24" s="2" t="s">
        <v>2406</v>
      </c>
      <c r="J24" s="2" t="s">
        <v>2361</v>
      </c>
      <c r="K24" s="2"/>
      <c r="L24" s="8" t="str">
        <f>HYPERLINK("http://slimages.macys.com/is/image/MCY/16421124 ")</f>
        <v xml:space="preserve">http://slimages.macys.com/is/image/MCY/16421124 </v>
      </c>
    </row>
    <row r="25" spans="1:12" x14ac:dyDescent="0.25">
      <c r="A25" s="5" t="s">
        <v>1768</v>
      </c>
      <c r="B25" s="2" t="s">
        <v>1769</v>
      </c>
      <c r="C25" s="3">
        <v>1</v>
      </c>
      <c r="D25" s="6">
        <v>30</v>
      </c>
      <c r="E25" s="3" t="s">
        <v>1770</v>
      </c>
      <c r="F25" s="2" t="s">
        <v>2464</v>
      </c>
      <c r="G25" s="7"/>
      <c r="H25" s="2" t="s">
        <v>2446</v>
      </c>
      <c r="I25" s="2" t="s">
        <v>1767</v>
      </c>
      <c r="J25" s="2" t="s">
        <v>2432</v>
      </c>
      <c r="K25" s="2" t="s">
        <v>2377</v>
      </c>
      <c r="L25" s="8" t="str">
        <f>HYPERLINK("http://images.bloomingdales.com/is/image/BLM/10049150 ")</f>
        <v xml:space="preserve">http://images.bloomingdales.com/is/image/BLM/10049150 </v>
      </c>
    </row>
    <row r="26" spans="1:12" ht="24.75" x14ac:dyDescent="0.25">
      <c r="A26" s="5" t="s">
        <v>1538</v>
      </c>
      <c r="B26" s="2" t="s">
        <v>1539</v>
      </c>
      <c r="C26" s="3">
        <v>1</v>
      </c>
      <c r="D26" s="6">
        <v>29.99</v>
      </c>
      <c r="E26" s="3" t="s">
        <v>1540</v>
      </c>
      <c r="F26" s="2"/>
      <c r="G26" s="7"/>
      <c r="H26" s="2" t="s">
        <v>2419</v>
      </c>
      <c r="I26" s="2" t="s">
        <v>3104</v>
      </c>
      <c r="J26" s="2" t="s">
        <v>2361</v>
      </c>
      <c r="K26" s="2"/>
      <c r="L26" s="8" t="str">
        <f>HYPERLINK("http://slimages.macys.com/is/image/MCY/15955183 ")</f>
        <v xml:space="preserve">http://slimages.macys.com/is/image/MCY/15955183 </v>
      </c>
    </row>
    <row r="27" spans="1:12" ht="24.75" x14ac:dyDescent="0.25">
      <c r="A27" s="5" t="s">
        <v>1771</v>
      </c>
      <c r="B27" s="2" t="s">
        <v>1772</v>
      </c>
      <c r="C27" s="3">
        <v>1</v>
      </c>
      <c r="D27" s="6">
        <v>39.99</v>
      </c>
      <c r="E27" s="3" t="s">
        <v>1773</v>
      </c>
      <c r="F27" s="2" t="s">
        <v>2601</v>
      </c>
      <c r="G27" s="7"/>
      <c r="H27" s="2" t="s">
        <v>2419</v>
      </c>
      <c r="I27" s="2" t="s">
        <v>2611</v>
      </c>
      <c r="J27" s="2" t="s">
        <v>2361</v>
      </c>
      <c r="K27" s="2" t="s">
        <v>1774</v>
      </c>
      <c r="L27" s="8" t="str">
        <f>HYPERLINK("http://slimages.macys.com/is/image/MCY/896370 ")</f>
        <v xml:space="preserve">http://slimages.macys.com/is/image/MCY/896370 </v>
      </c>
    </row>
    <row r="28" spans="1:12" ht="24.75" x14ac:dyDescent="0.25">
      <c r="A28" s="5" t="s">
        <v>1775</v>
      </c>
      <c r="B28" s="2" t="s">
        <v>1776</v>
      </c>
      <c r="C28" s="3">
        <v>1</v>
      </c>
      <c r="D28" s="6">
        <v>29.99</v>
      </c>
      <c r="E28" s="3">
        <v>1000785600</v>
      </c>
      <c r="F28" s="2" t="s">
        <v>2394</v>
      </c>
      <c r="G28" s="7"/>
      <c r="H28" s="2" t="s">
        <v>2368</v>
      </c>
      <c r="I28" s="2" t="s">
        <v>2369</v>
      </c>
      <c r="J28" s="2" t="s">
        <v>2432</v>
      </c>
      <c r="K28" s="2" t="s">
        <v>1777</v>
      </c>
      <c r="L28" s="8" t="str">
        <f>HYPERLINK("http://slimages.macys.com/is/image/MCY/9938529 ")</f>
        <v xml:space="preserve">http://slimages.macys.com/is/image/MCY/9938529 </v>
      </c>
    </row>
    <row r="29" spans="1:12" ht="96.75" x14ac:dyDescent="0.25">
      <c r="A29" s="5" t="s">
        <v>1412</v>
      </c>
      <c r="B29" s="2" t="s">
        <v>1413</v>
      </c>
      <c r="C29" s="3">
        <v>1</v>
      </c>
      <c r="D29" s="6">
        <v>19.989999999999998</v>
      </c>
      <c r="E29" s="3" t="s">
        <v>1414</v>
      </c>
      <c r="F29" s="2" t="s">
        <v>2536</v>
      </c>
      <c r="G29" s="7" t="s">
        <v>2518</v>
      </c>
      <c r="H29" s="2" t="s">
        <v>2419</v>
      </c>
      <c r="I29" s="2" t="s">
        <v>2406</v>
      </c>
      <c r="J29" s="2" t="s">
        <v>2361</v>
      </c>
      <c r="K29" s="2" t="s">
        <v>1290</v>
      </c>
      <c r="L29" s="8" t="str">
        <f>HYPERLINK("http://slimages.macys.com/is/image/MCY/9613896 ")</f>
        <v xml:space="preserve">http://slimages.macys.com/is/image/MCY/9613896 </v>
      </c>
    </row>
    <row r="30" spans="1:12" ht="24.75" x14ac:dyDescent="0.25">
      <c r="A30" s="5" t="s">
        <v>1778</v>
      </c>
      <c r="B30" s="2" t="s">
        <v>1779</v>
      </c>
      <c r="C30" s="3">
        <v>2</v>
      </c>
      <c r="D30" s="6">
        <v>22</v>
      </c>
      <c r="E30" s="3" t="s">
        <v>1780</v>
      </c>
      <c r="F30" s="2" t="s">
        <v>2640</v>
      </c>
      <c r="G30" s="7" t="s">
        <v>2382</v>
      </c>
      <c r="H30" s="2" t="s">
        <v>2446</v>
      </c>
      <c r="I30" s="2" t="s">
        <v>1767</v>
      </c>
      <c r="J30" s="2" t="s">
        <v>2432</v>
      </c>
      <c r="K30" s="2" t="s">
        <v>1781</v>
      </c>
      <c r="L30" s="8" t="str">
        <f>HYPERLINK("http://images.bloomingdales.com/is/image/BLM/9783772 ")</f>
        <v xml:space="preserve">http://images.bloomingdales.com/is/image/BLM/9783772 </v>
      </c>
    </row>
    <row r="31" spans="1:12" ht="24.75" x14ac:dyDescent="0.25">
      <c r="A31" s="5" t="s">
        <v>2686</v>
      </c>
      <c r="B31" s="2" t="s">
        <v>2687</v>
      </c>
      <c r="C31" s="3">
        <v>1</v>
      </c>
      <c r="D31" s="6">
        <v>22.99</v>
      </c>
      <c r="E31" s="3" t="s">
        <v>2688</v>
      </c>
      <c r="F31" s="2" t="s">
        <v>2536</v>
      </c>
      <c r="G31" s="7" t="s">
        <v>2518</v>
      </c>
      <c r="H31" s="2" t="s">
        <v>2419</v>
      </c>
      <c r="I31" s="2" t="s">
        <v>2406</v>
      </c>
      <c r="J31" s="2" t="s">
        <v>2361</v>
      </c>
      <c r="K31" s="2" t="s">
        <v>2377</v>
      </c>
      <c r="L31" s="8" t="str">
        <f>HYPERLINK("http://slimages.macys.com/is/image/MCY/16421101 ")</f>
        <v xml:space="preserve">http://slimages.macys.com/is/image/MCY/16421101 </v>
      </c>
    </row>
    <row r="32" spans="1:12" ht="24.75" x14ac:dyDescent="0.25">
      <c r="A32" s="5" t="s">
        <v>1782</v>
      </c>
      <c r="B32" s="2" t="s">
        <v>1783</v>
      </c>
      <c r="C32" s="3">
        <v>1</v>
      </c>
      <c r="D32" s="6">
        <v>22.99</v>
      </c>
      <c r="E32" s="3" t="s">
        <v>1784</v>
      </c>
      <c r="F32" s="2" t="s">
        <v>2597</v>
      </c>
      <c r="G32" s="7" t="s">
        <v>2518</v>
      </c>
      <c r="H32" s="2" t="s">
        <v>2419</v>
      </c>
      <c r="I32" s="2" t="s">
        <v>2406</v>
      </c>
      <c r="J32" s="2" t="s">
        <v>2361</v>
      </c>
      <c r="K32" s="2" t="s">
        <v>2377</v>
      </c>
      <c r="L32" s="8" t="str">
        <f>HYPERLINK("http://slimages.macys.com/is/image/MCY/16421101 ")</f>
        <v xml:space="preserve">http://slimages.macys.com/is/image/MCY/16421101 </v>
      </c>
    </row>
    <row r="33" spans="1:12" x14ac:dyDescent="0.25">
      <c r="A33" s="5" t="s">
        <v>1785</v>
      </c>
      <c r="B33" s="2" t="s">
        <v>1786</v>
      </c>
      <c r="C33" s="3">
        <v>5</v>
      </c>
      <c r="D33" s="6">
        <v>15</v>
      </c>
      <c r="E33" s="3" t="s">
        <v>1787</v>
      </c>
      <c r="F33" s="2" t="s">
        <v>2464</v>
      </c>
      <c r="G33" s="7" t="s">
        <v>2382</v>
      </c>
      <c r="H33" s="2" t="s">
        <v>2446</v>
      </c>
      <c r="I33" s="2" t="s">
        <v>1767</v>
      </c>
      <c r="J33" s="2" t="s">
        <v>2432</v>
      </c>
      <c r="K33" s="2" t="s">
        <v>1788</v>
      </c>
      <c r="L33" s="8" t="str">
        <f>HYPERLINK("http://images.bloomingdales.com/is/image/BLM/10049003 ")</f>
        <v xml:space="preserve">http://images.bloomingdales.com/is/image/BLM/10049003 </v>
      </c>
    </row>
    <row r="34" spans="1:12" x14ac:dyDescent="0.25">
      <c r="A34" s="5" t="s">
        <v>1789</v>
      </c>
      <c r="B34" s="2" t="s">
        <v>1790</v>
      </c>
      <c r="C34" s="3">
        <v>2</v>
      </c>
      <c r="D34" s="6">
        <v>15</v>
      </c>
      <c r="E34" s="3" t="s">
        <v>1791</v>
      </c>
      <c r="F34" s="2" t="s">
        <v>2464</v>
      </c>
      <c r="G34" s="7" t="s">
        <v>2382</v>
      </c>
      <c r="H34" s="2" t="s">
        <v>2446</v>
      </c>
      <c r="I34" s="2" t="s">
        <v>1767</v>
      </c>
      <c r="J34" s="2" t="s">
        <v>2432</v>
      </c>
      <c r="K34" s="2" t="s">
        <v>2835</v>
      </c>
      <c r="L34" s="8" t="str">
        <f>HYPERLINK("http://images.bloomingdales.com/is/image/BLM/10049064 ")</f>
        <v xml:space="preserve">http://images.bloomingdales.com/is/image/BLM/10049064 </v>
      </c>
    </row>
    <row r="35" spans="1:12" x14ac:dyDescent="0.25">
      <c r="A35" s="5" t="s">
        <v>1792</v>
      </c>
      <c r="B35" s="2" t="s">
        <v>1793</v>
      </c>
      <c r="C35" s="3">
        <v>8</v>
      </c>
      <c r="D35" s="6">
        <v>12</v>
      </c>
      <c r="E35" s="3" t="s">
        <v>1794</v>
      </c>
      <c r="F35" s="2" t="s">
        <v>2464</v>
      </c>
      <c r="G35" s="7" t="s">
        <v>2382</v>
      </c>
      <c r="H35" s="2" t="s">
        <v>2446</v>
      </c>
      <c r="I35" s="2" t="s">
        <v>1767</v>
      </c>
      <c r="J35" s="2" t="s">
        <v>2432</v>
      </c>
      <c r="K35" s="2" t="s">
        <v>1795</v>
      </c>
      <c r="L35" s="8" t="str">
        <f>HYPERLINK("http://images.bloomingdales.com/is/image/BLM/10067639 ")</f>
        <v xml:space="preserve">http://images.bloomingdales.com/is/image/BLM/10067639 </v>
      </c>
    </row>
    <row r="36" spans="1:12" ht="24.75" x14ac:dyDescent="0.25">
      <c r="A36" s="5" t="s">
        <v>1796</v>
      </c>
      <c r="B36" s="2" t="s">
        <v>1797</v>
      </c>
      <c r="C36" s="3">
        <v>1</v>
      </c>
      <c r="D36" s="6">
        <v>14.99</v>
      </c>
      <c r="E36" s="3" t="s">
        <v>1798</v>
      </c>
      <c r="F36" s="2" t="s">
        <v>2401</v>
      </c>
      <c r="G36" s="7"/>
      <c r="H36" s="2" t="s">
        <v>2359</v>
      </c>
      <c r="I36" s="2" t="s">
        <v>2406</v>
      </c>
      <c r="J36" s="2" t="s">
        <v>2361</v>
      </c>
      <c r="K36" s="2" t="s">
        <v>2377</v>
      </c>
      <c r="L36" s="8" t="str">
        <f>HYPERLINK("http://slimages.macys.com/is/image/MCY/10073928 ")</f>
        <v xml:space="preserve">http://slimages.macys.com/is/image/MCY/10073928 </v>
      </c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RowHeight="15" x14ac:dyDescent="0.25"/>
  <cols>
    <col min="1" max="1" width="14.28515625" customWidth="1"/>
    <col min="2" max="2" width="25.14062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24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24.75" x14ac:dyDescent="0.25">
      <c r="A2" s="5" t="s">
        <v>1799</v>
      </c>
      <c r="B2" s="2" t="s">
        <v>1800</v>
      </c>
      <c r="C2" s="3">
        <v>1</v>
      </c>
      <c r="D2" s="6">
        <v>340.99</v>
      </c>
      <c r="E2" s="3" t="s">
        <v>1801</v>
      </c>
      <c r="F2" s="2" t="s">
        <v>2512</v>
      </c>
      <c r="G2" s="7"/>
      <c r="H2" s="2" t="s">
        <v>2359</v>
      </c>
      <c r="I2" s="2" t="s">
        <v>2583</v>
      </c>
      <c r="J2" s="2" t="s">
        <v>2361</v>
      </c>
      <c r="K2" s="2" t="s">
        <v>2377</v>
      </c>
      <c r="L2" s="8" t="str">
        <f>HYPERLINK("http://slimages.macys.com/is/image/MCY/15504822 ")</f>
        <v xml:space="preserve">http://slimages.macys.com/is/image/MCY/15504822 </v>
      </c>
    </row>
    <row r="3" spans="1:12" ht="24.75" x14ac:dyDescent="0.25">
      <c r="A3" s="5" t="s">
        <v>1802</v>
      </c>
      <c r="B3" s="2" t="s">
        <v>1803</v>
      </c>
      <c r="C3" s="3">
        <v>1</v>
      </c>
      <c r="D3" s="6">
        <v>189.99</v>
      </c>
      <c r="E3" s="3" t="s">
        <v>1804</v>
      </c>
      <c r="F3" s="2" t="s">
        <v>2381</v>
      </c>
      <c r="G3" s="7"/>
      <c r="H3" s="2" t="s">
        <v>2749</v>
      </c>
      <c r="I3" s="2" t="s">
        <v>2750</v>
      </c>
      <c r="J3" s="2" t="s">
        <v>2361</v>
      </c>
      <c r="K3" s="2" t="s">
        <v>1805</v>
      </c>
      <c r="L3" s="8" t="str">
        <f>HYPERLINK("http://slimages.macys.com/is/image/MCY/9852696 ")</f>
        <v xml:space="preserve">http://slimages.macys.com/is/image/MCY/9852696 </v>
      </c>
    </row>
    <row r="4" spans="1:12" ht="24.75" x14ac:dyDescent="0.25">
      <c r="A4" s="5" t="s">
        <v>1806</v>
      </c>
      <c r="B4" s="2" t="s">
        <v>1807</v>
      </c>
      <c r="C4" s="3">
        <v>1</v>
      </c>
      <c r="D4" s="6">
        <v>179.99</v>
      </c>
      <c r="E4" s="3" t="s">
        <v>1808</v>
      </c>
      <c r="F4" s="2" t="s">
        <v>2512</v>
      </c>
      <c r="G4" s="7"/>
      <c r="H4" s="2" t="s">
        <v>2395</v>
      </c>
      <c r="I4" s="2" t="s">
        <v>2396</v>
      </c>
      <c r="J4" s="2" t="s">
        <v>2432</v>
      </c>
      <c r="K4" s="2" t="s">
        <v>1809</v>
      </c>
      <c r="L4" s="8" t="str">
        <f>HYPERLINK("http://slimages.macys.com/is/image/MCY/9848201 ")</f>
        <v xml:space="preserve">http://slimages.macys.com/is/image/MCY/9848201 </v>
      </c>
    </row>
    <row r="5" spans="1:12" ht="24.75" x14ac:dyDescent="0.25">
      <c r="A5" s="5" t="s">
        <v>1810</v>
      </c>
      <c r="B5" s="2" t="s">
        <v>1811</v>
      </c>
      <c r="C5" s="3">
        <v>1</v>
      </c>
      <c r="D5" s="6">
        <v>169.99</v>
      </c>
      <c r="E5" s="3" t="s">
        <v>1812</v>
      </c>
      <c r="F5" s="2" t="s">
        <v>2374</v>
      </c>
      <c r="G5" s="7"/>
      <c r="H5" s="2" t="s">
        <v>1813</v>
      </c>
      <c r="I5" s="2" t="s">
        <v>1814</v>
      </c>
      <c r="J5" s="2" t="s">
        <v>2361</v>
      </c>
      <c r="K5" s="2" t="s">
        <v>1815</v>
      </c>
      <c r="L5" s="8" t="str">
        <f>HYPERLINK("http://slimages.macys.com/is/image/MCY/9855060 ")</f>
        <v xml:space="preserve">http://slimages.macys.com/is/image/MCY/9855060 </v>
      </c>
    </row>
    <row r="6" spans="1:12" ht="60.75" x14ac:dyDescent="0.25">
      <c r="A6" s="5" t="s">
        <v>1816</v>
      </c>
      <c r="B6" s="2" t="s">
        <v>1817</v>
      </c>
      <c r="C6" s="3">
        <v>1</v>
      </c>
      <c r="D6" s="6">
        <v>119.99</v>
      </c>
      <c r="E6" s="3">
        <v>63801</v>
      </c>
      <c r="F6" s="2" t="s">
        <v>2374</v>
      </c>
      <c r="G6" s="7"/>
      <c r="H6" s="2" t="s">
        <v>2412</v>
      </c>
      <c r="I6" s="2" t="s">
        <v>2823</v>
      </c>
      <c r="J6" s="2" t="s">
        <v>2361</v>
      </c>
      <c r="K6" s="2" t="s">
        <v>1818</v>
      </c>
      <c r="L6" s="8" t="str">
        <f>HYPERLINK("http://slimages.macys.com/is/image/MCY/12081281 ")</f>
        <v xml:space="preserve">http://slimages.macys.com/is/image/MCY/12081281 </v>
      </c>
    </row>
    <row r="7" spans="1:12" ht="60.75" x14ac:dyDescent="0.25">
      <c r="A7" s="5" t="s">
        <v>1819</v>
      </c>
      <c r="B7" s="2" t="s">
        <v>1820</v>
      </c>
      <c r="C7" s="3">
        <v>1</v>
      </c>
      <c r="D7" s="6">
        <v>179.99</v>
      </c>
      <c r="E7" s="3" t="s">
        <v>1821</v>
      </c>
      <c r="F7" s="2" t="s">
        <v>2517</v>
      </c>
      <c r="G7" s="7"/>
      <c r="H7" s="2" t="s">
        <v>2395</v>
      </c>
      <c r="I7" s="2" t="s">
        <v>2396</v>
      </c>
      <c r="J7" s="2" t="s">
        <v>2361</v>
      </c>
      <c r="K7" s="2" t="s">
        <v>3150</v>
      </c>
      <c r="L7" s="8" t="str">
        <f>HYPERLINK("http://slimages.macys.com/is/image/MCY/12071407 ")</f>
        <v xml:space="preserve">http://slimages.macys.com/is/image/MCY/12071407 </v>
      </c>
    </row>
    <row r="8" spans="1:12" ht="24.75" x14ac:dyDescent="0.25">
      <c r="A8" s="5" t="s">
        <v>1822</v>
      </c>
      <c r="B8" s="2" t="s">
        <v>1823</v>
      </c>
      <c r="C8" s="3">
        <v>1</v>
      </c>
      <c r="D8" s="6">
        <v>149.99</v>
      </c>
      <c r="E8" s="3" t="s">
        <v>1824</v>
      </c>
      <c r="F8" s="2" t="s">
        <v>2374</v>
      </c>
      <c r="G8" s="7"/>
      <c r="H8" s="2" t="s">
        <v>1813</v>
      </c>
      <c r="I8" s="2" t="s">
        <v>1814</v>
      </c>
      <c r="J8" s="2" t="s">
        <v>2361</v>
      </c>
      <c r="K8" s="2" t="s">
        <v>3486</v>
      </c>
      <c r="L8" s="8" t="str">
        <f>HYPERLINK("http://slimages.macys.com/is/image/MCY/11485869 ")</f>
        <v xml:space="preserve">http://slimages.macys.com/is/image/MCY/11485869 </v>
      </c>
    </row>
    <row r="9" spans="1:12" ht="24.75" x14ac:dyDescent="0.25">
      <c r="A9" s="5" t="s">
        <v>1825</v>
      </c>
      <c r="B9" s="2" t="s">
        <v>1826</v>
      </c>
      <c r="C9" s="3">
        <v>1</v>
      </c>
      <c r="D9" s="6">
        <v>149.99</v>
      </c>
      <c r="E9" s="3" t="s">
        <v>1827</v>
      </c>
      <c r="F9" s="2" t="s">
        <v>2374</v>
      </c>
      <c r="G9" s="7"/>
      <c r="H9" s="2" t="s">
        <v>1813</v>
      </c>
      <c r="I9" s="2" t="s">
        <v>1814</v>
      </c>
      <c r="J9" s="2" t="s">
        <v>2361</v>
      </c>
      <c r="K9" s="2" t="s">
        <v>2397</v>
      </c>
      <c r="L9" s="8" t="str">
        <f>HYPERLINK("http://slimages.macys.com/is/image/MCY/9855060 ")</f>
        <v xml:space="preserve">http://slimages.macys.com/is/image/MCY/9855060 </v>
      </c>
    </row>
    <row r="10" spans="1:12" ht="192.75" x14ac:dyDescent="0.25">
      <c r="A10" s="5" t="s">
        <v>1828</v>
      </c>
      <c r="B10" s="2" t="s">
        <v>1829</v>
      </c>
      <c r="C10" s="3">
        <v>1</v>
      </c>
      <c r="D10" s="6">
        <v>139.99</v>
      </c>
      <c r="E10" s="3" t="s">
        <v>1830</v>
      </c>
      <c r="F10" s="2" t="s">
        <v>2849</v>
      </c>
      <c r="G10" s="7"/>
      <c r="H10" s="2" t="s">
        <v>2359</v>
      </c>
      <c r="I10" s="2" t="s">
        <v>2406</v>
      </c>
      <c r="J10" s="2" t="s">
        <v>2361</v>
      </c>
      <c r="K10" s="2" t="s">
        <v>1831</v>
      </c>
      <c r="L10" s="8" t="str">
        <f>HYPERLINK("http://slimages.macys.com/is/image/MCY/9627849 ")</f>
        <v xml:space="preserve">http://slimages.macys.com/is/image/MCY/9627849 </v>
      </c>
    </row>
    <row r="11" spans="1:12" ht="60.75" x14ac:dyDescent="0.25">
      <c r="A11" s="5" t="s">
        <v>1832</v>
      </c>
      <c r="B11" s="2" t="s">
        <v>1833</v>
      </c>
      <c r="C11" s="3">
        <v>1</v>
      </c>
      <c r="D11" s="6">
        <v>119.99</v>
      </c>
      <c r="E11" s="3" t="s">
        <v>1834</v>
      </c>
      <c r="F11" s="2" t="s">
        <v>3194</v>
      </c>
      <c r="G11" s="7" t="s">
        <v>1835</v>
      </c>
      <c r="H11" s="2" t="s">
        <v>2879</v>
      </c>
      <c r="I11" s="2" t="s">
        <v>2880</v>
      </c>
      <c r="J11" s="2" t="s">
        <v>2361</v>
      </c>
      <c r="K11" s="2" t="s">
        <v>1836</v>
      </c>
      <c r="L11" s="8" t="str">
        <f>HYPERLINK("http://slimages.macys.com/is/image/MCY/3714163 ")</f>
        <v xml:space="preserve">http://slimages.macys.com/is/image/MCY/3714163 </v>
      </c>
    </row>
    <row r="12" spans="1:12" ht="24.75" x14ac:dyDescent="0.25">
      <c r="A12" s="5" t="s">
        <v>1482</v>
      </c>
      <c r="B12" s="2" t="s">
        <v>1483</v>
      </c>
      <c r="C12" s="3">
        <v>1</v>
      </c>
      <c r="D12" s="6">
        <v>129.99</v>
      </c>
      <c r="E12" s="3" t="s">
        <v>1484</v>
      </c>
      <c r="F12" s="2" t="s">
        <v>2424</v>
      </c>
      <c r="G12" s="7"/>
      <c r="H12" s="2" t="s">
        <v>2395</v>
      </c>
      <c r="I12" s="2" t="s">
        <v>2527</v>
      </c>
      <c r="J12" s="2" t="s">
        <v>2361</v>
      </c>
      <c r="K12" s="2"/>
      <c r="L12" s="8" t="str">
        <f>HYPERLINK("http://slimages.macys.com/is/image/MCY/14607099 ")</f>
        <v xml:space="preserve">http://slimages.macys.com/is/image/MCY/14607099 </v>
      </c>
    </row>
    <row r="13" spans="1:12" ht="24.75" x14ac:dyDescent="0.25">
      <c r="A13" s="5" t="s">
        <v>1837</v>
      </c>
      <c r="B13" s="2" t="s">
        <v>1838</v>
      </c>
      <c r="C13" s="3">
        <v>1</v>
      </c>
      <c r="D13" s="6">
        <v>129.99</v>
      </c>
      <c r="E13" s="3" t="s">
        <v>1839</v>
      </c>
      <c r="F13" s="2" t="s">
        <v>3381</v>
      </c>
      <c r="G13" s="7"/>
      <c r="H13" s="2" t="s">
        <v>2395</v>
      </c>
      <c r="I13" s="2" t="s">
        <v>2396</v>
      </c>
      <c r="J13" s="2" t="s">
        <v>2432</v>
      </c>
      <c r="K13" s="2" t="s">
        <v>1840</v>
      </c>
      <c r="L13" s="8" t="str">
        <f>HYPERLINK("http://slimages.macys.com/is/image/MCY/11777258 ")</f>
        <v xml:space="preserve">http://slimages.macys.com/is/image/MCY/11777258 </v>
      </c>
    </row>
    <row r="14" spans="1:12" ht="24.75" x14ac:dyDescent="0.25">
      <c r="A14" s="5" t="s">
        <v>1841</v>
      </c>
      <c r="B14" s="2" t="s">
        <v>1842</v>
      </c>
      <c r="C14" s="3">
        <v>1</v>
      </c>
      <c r="D14" s="6">
        <v>89.99</v>
      </c>
      <c r="E14" s="3" t="s">
        <v>1843</v>
      </c>
      <c r="F14" s="2" t="s">
        <v>2440</v>
      </c>
      <c r="G14" s="7"/>
      <c r="H14" s="2" t="s">
        <v>1844</v>
      </c>
      <c r="I14" s="2" t="s">
        <v>1845</v>
      </c>
      <c r="J14" s="2" t="s">
        <v>2361</v>
      </c>
      <c r="K14" s="2" t="s">
        <v>3486</v>
      </c>
      <c r="L14" s="8" t="str">
        <f>HYPERLINK("http://slimages.macys.com/is/image/MCY/8663951 ")</f>
        <v xml:space="preserve">http://slimages.macys.com/is/image/MCY/8663951 </v>
      </c>
    </row>
    <row r="15" spans="1:12" ht="24.75" x14ac:dyDescent="0.25">
      <c r="A15" s="5" t="s">
        <v>1846</v>
      </c>
      <c r="B15" s="2" t="s">
        <v>1847</v>
      </c>
      <c r="C15" s="3">
        <v>2</v>
      </c>
      <c r="D15" s="6">
        <v>69.989999999999995</v>
      </c>
      <c r="E15" s="3" t="s">
        <v>1848</v>
      </c>
      <c r="F15" s="2" t="s">
        <v>2366</v>
      </c>
      <c r="G15" s="7"/>
      <c r="H15" s="2" t="s">
        <v>2459</v>
      </c>
      <c r="I15" s="2" t="s">
        <v>2547</v>
      </c>
      <c r="J15" s="2" t="s">
        <v>2361</v>
      </c>
      <c r="K15" s="2" t="s">
        <v>2508</v>
      </c>
      <c r="L15" s="8" t="str">
        <f>HYPERLINK("http://slimages.macys.com/is/image/MCY/3052930 ")</f>
        <v xml:space="preserve">http://slimages.macys.com/is/image/MCY/3052930 </v>
      </c>
    </row>
    <row r="16" spans="1:12" ht="36.75" x14ac:dyDescent="0.25">
      <c r="A16" s="5" t="s">
        <v>1849</v>
      </c>
      <c r="B16" s="2" t="s">
        <v>1850</v>
      </c>
      <c r="C16" s="3">
        <v>1</v>
      </c>
      <c r="D16" s="6">
        <v>89.99</v>
      </c>
      <c r="E16" s="3" t="s">
        <v>1851</v>
      </c>
      <c r="F16" s="2" t="s">
        <v>2440</v>
      </c>
      <c r="G16" s="7" t="s">
        <v>3009</v>
      </c>
      <c r="H16" s="2" t="s">
        <v>2375</v>
      </c>
      <c r="I16" s="2" t="s">
        <v>1852</v>
      </c>
      <c r="J16" s="2" t="s">
        <v>2361</v>
      </c>
      <c r="K16" s="2" t="s">
        <v>1853</v>
      </c>
      <c r="L16" s="8" t="str">
        <f>HYPERLINK("http://slimages.macys.com/is/image/MCY/2594481 ")</f>
        <v xml:space="preserve">http://slimages.macys.com/is/image/MCY/2594481 </v>
      </c>
    </row>
    <row r="17" spans="1:12" ht="36.75" x14ac:dyDescent="0.25">
      <c r="A17" s="5" t="s">
        <v>1854</v>
      </c>
      <c r="B17" s="2" t="s">
        <v>1855</v>
      </c>
      <c r="C17" s="3">
        <v>1</v>
      </c>
      <c r="D17" s="6">
        <v>84.99</v>
      </c>
      <c r="E17" s="3" t="s">
        <v>1856</v>
      </c>
      <c r="F17" s="2" t="s">
        <v>2374</v>
      </c>
      <c r="G17" s="7"/>
      <c r="H17" s="2" t="s">
        <v>2359</v>
      </c>
      <c r="I17" s="2" t="s">
        <v>2406</v>
      </c>
      <c r="J17" s="2" t="s">
        <v>2361</v>
      </c>
      <c r="K17" s="2" t="s">
        <v>2623</v>
      </c>
      <c r="L17" s="8" t="str">
        <f>HYPERLINK("http://slimages.macys.com/is/image/MCY/9798713 ")</f>
        <v xml:space="preserve">http://slimages.macys.com/is/image/MCY/9798713 </v>
      </c>
    </row>
    <row r="18" spans="1:12" ht="24.75" x14ac:dyDescent="0.25">
      <c r="A18" s="5" t="s">
        <v>1857</v>
      </c>
      <c r="B18" s="2" t="s">
        <v>1858</v>
      </c>
      <c r="C18" s="3">
        <v>3</v>
      </c>
      <c r="D18" s="6">
        <v>59.99</v>
      </c>
      <c r="E18" s="3" t="s">
        <v>1859</v>
      </c>
      <c r="F18" s="2" t="s">
        <v>2374</v>
      </c>
      <c r="G18" s="7"/>
      <c r="H18" s="2" t="s">
        <v>2419</v>
      </c>
      <c r="I18" s="2" t="s">
        <v>3104</v>
      </c>
      <c r="J18" s="2" t="s">
        <v>2361</v>
      </c>
      <c r="K18" s="2"/>
      <c r="L18" s="8" t="str">
        <f>HYPERLINK("http://slimages.macys.com/is/image/MCY/14656247 ")</f>
        <v xml:space="preserve">http://slimages.macys.com/is/image/MCY/14656247 </v>
      </c>
    </row>
    <row r="19" spans="1:12" ht="168.75" x14ac:dyDescent="0.25">
      <c r="A19" s="5" t="s">
        <v>1860</v>
      </c>
      <c r="B19" s="2" t="s">
        <v>1861</v>
      </c>
      <c r="C19" s="3">
        <v>1</v>
      </c>
      <c r="D19" s="6">
        <v>116.99</v>
      </c>
      <c r="E19" s="3" t="s">
        <v>1862</v>
      </c>
      <c r="F19" s="2" t="s">
        <v>2768</v>
      </c>
      <c r="G19" s="7"/>
      <c r="H19" s="2" t="s">
        <v>2359</v>
      </c>
      <c r="I19" s="2" t="s">
        <v>2406</v>
      </c>
      <c r="J19" s="2" t="s">
        <v>2361</v>
      </c>
      <c r="K19" s="2" t="s">
        <v>1863</v>
      </c>
      <c r="L19" s="8" t="str">
        <f>HYPERLINK("http://slimages.macys.com/is/image/MCY/12932435 ")</f>
        <v xml:space="preserve">http://slimages.macys.com/is/image/MCY/12932435 </v>
      </c>
    </row>
    <row r="20" spans="1:12" ht="36.75" x14ac:dyDescent="0.25">
      <c r="A20" s="5" t="s">
        <v>1864</v>
      </c>
      <c r="B20" s="2" t="s">
        <v>1865</v>
      </c>
      <c r="C20" s="3">
        <v>2</v>
      </c>
      <c r="D20" s="6">
        <v>68.989999999999995</v>
      </c>
      <c r="E20" s="3" t="s">
        <v>1866</v>
      </c>
      <c r="F20" s="2" t="s">
        <v>1156</v>
      </c>
      <c r="G20" s="7" t="s">
        <v>3039</v>
      </c>
      <c r="H20" s="2" t="s">
        <v>2749</v>
      </c>
      <c r="I20" s="2" t="s">
        <v>2750</v>
      </c>
      <c r="J20" s="2" t="s">
        <v>2361</v>
      </c>
      <c r="K20" s="2" t="s">
        <v>1867</v>
      </c>
      <c r="L20" s="8" t="str">
        <f>HYPERLINK("http://slimages.macys.com/is/image/MCY/8810464 ")</f>
        <v xml:space="preserve">http://slimages.macys.com/is/image/MCY/8810464 </v>
      </c>
    </row>
    <row r="21" spans="1:12" ht="24.75" x14ac:dyDescent="0.25">
      <c r="A21" s="5" t="s">
        <v>1868</v>
      </c>
      <c r="B21" s="2" t="s">
        <v>1869</v>
      </c>
      <c r="C21" s="3">
        <v>1</v>
      </c>
      <c r="D21" s="6">
        <v>59.99</v>
      </c>
      <c r="E21" s="3" t="s">
        <v>1870</v>
      </c>
      <c r="F21" s="2" t="s">
        <v>2517</v>
      </c>
      <c r="G21" s="7" t="s">
        <v>3039</v>
      </c>
      <c r="H21" s="2" t="s">
        <v>1871</v>
      </c>
      <c r="I21" s="2" t="s">
        <v>1872</v>
      </c>
      <c r="J21" s="2" t="s">
        <v>2361</v>
      </c>
      <c r="K21" s="2" t="s">
        <v>2370</v>
      </c>
      <c r="L21" s="8" t="str">
        <f>HYPERLINK("http://slimages.macys.com/is/image/MCY/3755387 ")</f>
        <v xml:space="preserve">http://slimages.macys.com/is/image/MCY/3755387 </v>
      </c>
    </row>
    <row r="22" spans="1:12" ht="24.75" x14ac:dyDescent="0.25">
      <c r="A22" s="5" t="s">
        <v>1873</v>
      </c>
      <c r="B22" s="2" t="s">
        <v>1874</v>
      </c>
      <c r="C22" s="3">
        <v>2</v>
      </c>
      <c r="D22" s="6">
        <v>59.99</v>
      </c>
      <c r="E22" s="3" t="s">
        <v>1875</v>
      </c>
      <c r="F22" s="2" t="s">
        <v>3485</v>
      </c>
      <c r="G22" s="7"/>
      <c r="H22" s="2" t="s">
        <v>2375</v>
      </c>
      <c r="I22" s="2" t="s">
        <v>2376</v>
      </c>
      <c r="J22" s="2" t="s">
        <v>2361</v>
      </c>
      <c r="K22" s="2"/>
      <c r="L22" s="8" t="str">
        <f>HYPERLINK("http://slimages.macys.com/is/image/MCY/8659857 ")</f>
        <v xml:space="preserve">http://slimages.macys.com/is/image/MCY/8659857 </v>
      </c>
    </row>
    <row r="23" spans="1:12" ht="24.75" x14ac:dyDescent="0.25">
      <c r="A23" s="5" t="s">
        <v>1876</v>
      </c>
      <c r="B23" s="2" t="s">
        <v>1877</v>
      </c>
      <c r="C23" s="3">
        <v>1</v>
      </c>
      <c r="D23" s="6">
        <v>59.99</v>
      </c>
      <c r="E23" s="3" t="s">
        <v>1878</v>
      </c>
      <c r="F23" s="2" t="s">
        <v>2366</v>
      </c>
      <c r="G23" s="7"/>
      <c r="H23" s="2" t="s">
        <v>2359</v>
      </c>
      <c r="I23" s="2" t="s">
        <v>2784</v>
      </c>
      <c r="J23" s="2" t="s">
        <v>2361</v>
      </c>
      <c r="K23" s="2"/>
      <c r="L23" s="8" t="str">
        <f>HYPERLINK("http://slimages.macys.com/is/image/MCY/8624457 ")</f>
        <v xml:space="preserve">http://slimages.macys.com/is/image/MCY/8624457 </v>
      </c>
    </row>
    <row r="24" spans="1:12" ht="24.75" x14ac:dyDescent="0.25">
      <c r="A24" s="5" t="s">
        <v>1879</v>
      </c>
      <c r="B24" s="2" t="s">
        <v>1880</v>
      </c>
      <c r="C24" s="3">
        <v>2</v>
      </c>
      <c r="D24" s="6">
        <v>59.99</v>
      </c>
      <c r="E24" s="3">
        <v>1001280900</v>
      </c>
      <c r="F24" s="2" t="s">
        <v>2517</v>
      </c>
      <c r="G24" s="7"/>
      <c r="H24" s="2" t="s">
        <v>2368</v>
      </c>
      <c r="I24" s="2" t="s">
        <v>1113</v>
      </c>
      <c r="J24" s="2" t="s">
        <v>2361</v>
      </c>
      <c r="K24" s="2"/>
      <c r="L24" s="8" t="str">
        <f>HYPERLINK("http://slimages.macys.com/is/image/MCY/9569285 ")</f>
        <v xml:space="preserve">http://slimages.macys.com/is/image/MCY/9569285 </v>
      </c>
    </row>
    <row r="25" spans="1:12" ht="24.75" x14ac:dyDescent="0.25">
      <c r="A25" s="5" t="s">
        <v>1881</v>
      </c>
      <c r="B25" s="2" t="s">
        <v>1882</v>
      </c>
      <c r="C25" s="3">
        <v>1</v>
      </c>
      <c r="D25" s="6">
        <v>59.99</v>
      </c>
      <c r="E25" s="3" t="s">
        <v>1883</v>
      </c>
      <c r="F25" s="2" t="s">
        <v>2418</v>
      </c>
      <c r="G25" s="7"/>
      <c r="H25" s="2" t="s">
        <v>2388</v>
      </c>
      <c r="I25" s="2" t="s">
        <v>1502</v>
      </c>
      <c r="J25" s="2" t="s">
        <v>2361</v>
      </c>
      <c r="K25" s="2" t="s">
        <v>1884</v>
      </c>
      <c r="L25" s="8" t="str">
        <f>HYPERLINK("http://slimages.macys.com/is/image/MCY/8708082 ")</f>
        <v xml:space="preserve">http://slimages.macys.com/is/image/MCY/8708082 </v>
      </c>
    </row>
    <row r="26" spans="1:12" ht="24.75" x14ac:dyDescent="0.25">
      <c r="A26" s="5" t="s">
        <v>1885</v>
      </c>
      <c r="B26" s="2" t="s">
        <v>1886</v>
      </c>
      <c r="C26" s="3">
        <v>1</v>
      </c>
      <c r="D26" s="6">
        <v>39.99</v>
      </c>
      <c r="E26" s="3" t="s">
        <v>1887</v>
      </c>
      <c r="F26" s="2" t="s">
        <v>2424</v>
      </c>
      <c r="G26" s="7"/>
      <c r="H26" s="2" t="s">
        <v>2537</v>
      </c>
      <c r="I26" s="2" t="s">
        <v>3353</v>
      </c>
      <c r="J26" s="2" t="s">
        <v>2361</v>
      </c>
      <c r="K26" s="2" t="s">
        <v>2441</v>
      </c>
      <c r="L26" s="8" t="str">
        <f>HYPERLINK("http://slimages.macys.com/is/image/MCY/9483294 ")</f>
        <v xml:space="preserve">http://slimages.macys.com/is/image/MCY/9483294 </v>
      </c>
    </row>
    <row r="27" spans="1:12" ht="24.75" x14ac:dyDescent="0.25">
      <c r="A27" s="5" t="s">
        <v>1888</v>
      </c>
      <c r="B27" s="2" t="s">
        <v>1889</v>
      </c>
      <c r="C27" s="3">
        <v>1</v>
      </c>
      <c r="D27" s="6">
        <v>63.99</v>
      </c>
      <c r="E27" s="3" t="s">
        <v>1890</v>
      </c>
      <c r="F27" s="2" t="s">
        <v>2381</v>
      </c>
      <c r="G27" s="7"/>
      <c r="H27" s="2" t="s">
        <v>2359</v>
      </c>
      <c r="I27" s="2" t="s">
        <v>2406</v>
      </c>
      <c r="J27" s="2" t="s">
        <v>2361</v>
      </c>
      <c r="K27" s="2" t="s">
        <v>2607</v>
      </c>
      <c r="L27" s="8" t="str">
        <f>HYPERLINK("http://slimages.macys.com/is/image/MCY/9767726 ")</f>
        <v xml:space="preserve">http://slimages.macys.com/is/image/MCY/9767726 </v>
      </c>
    </row>
    <row r="28" spans="1:12" ht="60.75" x14ac:dyDescent="0.25">
      <c r="A28" s="5" t="s">
        <v>1891</v>
      </c>
      <c r="B28" s="2" t="s">
        <v>1892</v>
      </c>
      <c r="C28" s="3">
        <v>1</v>
      </c>
      <c r="D28" s="6">
        <v>69.989999999999995</v>
      </c>
      <c r="E28" s="3">
        <v>24689</v>
      </c>
      <c r="F28" s="2" t="s">
        <v>2374</v>
      </c>
      <c r="G28" s="7" t="s">
        <v>2666</v>
      </c>
      <c r="H28" s="2" t="s">
        <v>2412</v>
      </c>
      <c r="I28" s="2" t="s">
        <v>3401</v>
      </c>
      <c r="J28" s="2" t="s">
        <v>2467</v>
      </c>
      <c r="K28" s="2" t="s">
        <v>1893</v>
      </c>
      <c r="L28" s="8" t="str">
        <f>HYPERLINK("http://slimages.macys.com/is/image/MCY/1740447 ")</f>
        <v xml:space="preserve">http://slimages.macys.com/is/image/MCY/1740447 </v>
      </c>
    </row>
    <row r="29" spans="1:12" ht="24.75" x14ac:dyDescent="0.25">
      <c r="A29" s="5" t="s">
        <v>1894</v>
      </c>
      <c r="B29" s="2" t="s">
        <v>1895</v>
      </c>
      <c r="C29" s="3">
        <v>1</v>
      </c>
      <c r="D29" s="6">
        <v>49.99</v>
      </c>
      <c r="E29" s="3" t="s">
        <v>1896</v>
      </c>
      <c r="F29" s="2" t="s">
        <v>3485</v>
      </c>
      <c r="G29" s="7"/>
      <c r="H29" s="2" t="s">
        <v>2675</v>
      </c>
      <c r="I29" s="2" t="s">
        <v>1897</v>
      </c>
      <c r="J29" s="2" t="s">
        <v>2361</v>
      </c>
      <c r="K29" s="2"/>
      <c r="L29" s="8" t="str">
        <f>HYPERLINK("http://slimages.macys.com/is/image/MCY/9959815 ")</f>
        <v xml:space="preserve">http://slimages.macys.com/is/image/MCY/9959815 </v>
      </c>
    </row>
    <row r="30" spans="1:12" ht="24.75" x14ac:dyDescent="0.25">
      <c r="A30" s="5" t="s">
        <v>1898</v>
      </c>
      <c r="B30" s="2" t="s">
        <v>1899</v>
      </c>
      <c r="C30" s="3">
        <v>1</v>
      </c>
      <c r="D30" s="6">
        <v>54.99</v>
      </c>
      <c r="E30" s="3" t="s">
        <v>1900</v>
      </c>
      <c r="F30" s="2" t="s">
        <v>1725</v>
      </c>
      <c r="G30" s="7"/>
      <c r="H30" s="2" t="s">
        <v>2359</v>
      </c>
      <c r="I30" s="2" t="s">
        <v>1901</v>
      </c>
      <c r="J30" s="2" t="s">
        <v>2361</v>
      </c>
      <c r="K30" s="2" t="s">
        <v>1902</v>
      </c>
      <c r="L30" s="8" t="str">
        <f>HYPERLINK("http://slimages.macys.com/is/image/MCY/10385349 ")</f>
        <v xml:space="preserve">http://slimages.macys.com/is/image/MCY/10385349 </v>
      </c>
    </row>
    <row r="31" spans="1:12" ht="36.75" x14ac:dyDescent="0.25">
      <c r="A31" s="5" t="s">
        <v>1903</v>
      </c>
      <c r="B31" s="2" t="s">
        <v>1904</v>
      </c>
      <c r="C31" s="3">
        <v>1</v>
      </c>
      <c r="D31" s="6">
        <v>59.99</v>
      </c>
      <c r="E31" s="3" t="s">
        <v>1905</v>
      </c>
      <c r="F31" s="2" t="s">
        <v>2458</v>
      </c>
      <c r="G31" s="7"/>
      <c r="H31" s="2" t="s">
        <v>2359</v>
      </c>
      <c r="I31" s="2" t="s">
        <v>2406</v>
      </c>
      <c r="J31" s="2" t="s">
        <v>2361</v>
      </c>
      <c r="K31" s="2" t="s">
        <v>2623</v>
      </c>
      <c r="L31" s="8" t="str">
        <f>HYPERLINK("http://slimages.macys.com/is/image/MCY/9812356 ")</f>
        <v xml:space="preserve">http://slimages.macys.com/is/image/MCY/9812356 </v>
      </c>
    </row>
    <row r="32" spans="1:12" ht="48.75" x14ac:dyDescent="0.25">
      <c r="A32" s="5" t="s">
        <v>1906</v>
      </c>
      <c r="B32" s="2" t="s">
        <v>1907</v>
      </c>
      <c r="C32" s="3">
        <v>1</v>
      </c>
      <c r="D32" s="6">
        <v>49.99</v>
      </c>
      <c r="E32" s="3" t="s">
        <v>1908</v>
      </c>
      <c r="F32" s="2" t="s">
        <v>2381</v>
      </c>
      <c r="G32" s="7"/>
      <c r="H32" s="2" t="s">
        <v>2395</v>
      </c>
      <c r="I32" s="2" t="s">
        <v>2396</v>
      </c>
      <c r="J32" s="2" t="s">
        <v>2361</v>
      </c>
      <c r="K32" s="2" t="s">
        <v>1909</v>
      </c>
      <c r="L32" s="8" t="str">
        <f>HYPERLINK("http://slimages.macys.com/is/image/MCY/11778798 ")</f>
        <v xml:space="preserve">http://slimages.macys.com/is/image/MCY/11778798 </v>
      </c>
    </row>
    <row r="33" spans="1:12" ht="48.75" x14ac:dyDescent="0.25">
      <c r="A33" s="5" t="s">
        <v>1910</v>
      </c>
      <c r="B33" s="2" t="s">
        <v>1911</v>
      </c>
      <c r="C33" s="3">
        <v>1</v>
      </c>
      <c r="D33" s="6">
        <v>49.99</v>
      </c>
      <c r="E33" s="3" t="s">
        <v>1912</v>
      </c>
      <c r="F33" s="2" t="s">
        <v>2440</v>
      </c>
      <c r="G33" s="7"/>
      <c r="H33" s="2" t="s">
        <v>2395</v>
      </c>
      <c r="I33" s="2" t="s">
        <v>2396</v>
      </c>
      <c r="J33" s="2" t="s">
        <v>2361</v>
      </c>
      <c r="K33" s="2" t="s">
        <v>1909</v>
      </c>
      <c r="L33" s="8" t="str">
        <f>HYPERLINK("http://slimages.macys.com/is/image/MCY/11778728 ")</f>
        <v xml:space="preserve">http://slimages.macys.com/is/image/MCY/11778728 </v>
      </c>
    </row>
    <row r="34" spans="1:12" ht="24.75" x14ac:dyDescent="0.25">
      <c r="A34" s="5" t="s">
        <v>1500</v>
      </c>
      <c r="B34" s="2" t="s">
        <v>1501</v>
      </c>
      <c r="C34" s="3">
        <v>1</v>
      </c>
      <c r="D34" s="6">
        <v>49.99</v>
      </c>
      <c r="E34" s="3">
        <v>1003103300</v>
      </c>
      <c r="F34" s="2" t="s">
        <v>2374</v>
      </c>
      <c r="G34" s="7" t="s">
        <v>2627</v>
      </c>
      <c r="H34" s="2" t="s">
        <v>2749</v>
      </c>
      <c r="I34" s="2" t="s">
        <v>2750</v>
      </c>
      <c r="J34" s="2" t="s">
        <v>2361</v>
      </c>
      <c r="K34" s="2" t="s">
        <v>1516</v>
      </c>
      <c r="L34" s="8" t="str">
        <f>HYPERLINK("http://slimages.macys.com/is/image/MCY/10151227 ")</f>
        <v xml:space="preserve">http://slimages.macys.com/is/image/MCY/10151227 </v>
      </c>
    </row>
    <row r="35" spans="1:12" ht="48.75" x14ac:dyDescent="0.25">
      <c r="A35" s="5" t="s">
        <v>1913</v>
      </c>
      <c r="B35" s="2" t="s">
        <v>1914</v>
      </c>
      <c r="C35" s="3">
        <v>1</v>
      </c>
      <c r="D35" s="6">
        <v>49.99</v>
      </c>
      <c r="E35" s="3" t="s">
        <v>1915</v>
      </c>
      <c r="F35" s="2" t="s">
        <v>2512</v>
      </c>
      <c r="G35" s="7"/>
      <c r="H35" s="2" t="s">
        <v>2395</v>
      </c>
      <c r="I35" s="2" t="s">
        <v>2396</v>
      </c>
      <c r="J35" s="2" t="s">
        <v>2361</v>
      </c>
      <c r="K35" s="2" t="s">
        <v>1909</v>
      </c>
      <c r="L35" s="8" t="str">
        <f>HYPERLINK("http://slimages.macys.com/is/image/MCY/11778824 ")</f>
        <v xml:space="preserve">http://slimages.macys.com/is/image/MCY/11778824 </v>
      </c>
    </row>
    <row r="36" spans="1:12" ht="24.75" x14ac:dyDescent="0.25">
      <c r="A36" s="5" t="s">
        <v>1916</v>
      </c>
      <c r="B36" s="2" t="s">
        <v>1917</v>
      </c>
      <c r="C36" s="3">
        <v>2</v>
      </c>
      <c r="D36" s="6">
        <v>39.99</v>
      </c>
      <c r="E36" s="3" t="s">
        <v>1918</v>
      </c>
      <c r="F36" s="2"/>
      <c r="G36" s="7"/>
      <c r="H36" s="2" t="s">
        <v>2375</v>
      </c>
      <c r="I36" s="2" t="s">
        <v>3446</v>
      </c>
      <c r="J36" s="2" t="s">
        <v>2361</v>
      </c>
      <c r="K36" s="2"/>
      <c r="L36" s="8" t="str">
        <f>HYPERLINK("http://slimages.macys.com/is/image/MCY/8654171 ")</f>
        <v xml:space="preserve">http://slimages.macys.com/is/image/MCY/8654171 </v>
      </c>
    </row>
    <row r="37" spans="1:12" ht="24.75" x14ac:dyDescent="0.25">
      <c r="A37" s="5" t="s">
        <v>1919</v>
      </c>
      <c r="B37" s="2" t="s">
        <v>1920</v>
      </c>
      <c r="C37" s="3">
        <v>1</v>
      </c>
      <c r="D37" s="6">
        <v>39.99</v>
      </c>
      <c r="E37" s="3" t="s">
        <v>1921</v>
      </c>
      <c r="F37" s="2" t="s">
        <v>2374</v>
      </c>
      <c r="G37" s="7" t="s">
        <v>1509</v>
      </c>
      <c r="H37" s="2" t="s">
        <v>2375</v>
      </c>
      <c r="I37" s="2" t="s">
        <v>3446</v>
      </c>
      <c r="J37" s="2" t="s">
        <v>2361</v>
      </c>
      <c r="K37" s="2"/>
      <c r="L37" s="8" t="str">
        <f>HYPERLINK("http://slimages.macys.com/is/image/MCY/8654173 ")</f>
        <v xml:space="preserve">http://slimages.macys.com/is/image/MCY/8654173 </v>
      </c>
    </row>
    <row r="38" spans="1:12" ht="24.75" x14ac:dyDescent="0.25">
      <c r="A38" s="5" t="s">
        <v>1922</v>
      </c>
      <c r="B38" s="2" t="s">
        <v>1923</v>
      </c>
      <c r="C38" s="3">
        <v>1</v>
      </c>
      <c r="D38" s="6">
        <v>34.99</v>
      </c>
      <c r="E38" s="3" t="s">
        <v>1924</v>
      </c>
      <c r="F38" s="2" t="s">
        <v>3038</v>
      </c>
      <c r="G38" s="7"/>
      <c r="H38" s="2" t="s">
        <v>2395</v>
      </c>
      <c r="I38" s="2" t="s">
        <v>2396</v>
      </c>
      <c r="J38" s="2" t="s">
        <v>2361</v>
      </c>
      <c r="K38" s="2" t="s">
        <v>2508</v>
      </c>
      <c r="L38" s="8" t="str">
        <f>HYPERLINK("http://slimages.macys.com/is/image/MCY/8337061 ")</f>
        <v xml:space="preserve">http://slimages.macys.com/is/image/MCY/8337061 </v>
      </c>
    </row>
    <row r="39" spans="1:12" x14ac:dyDescent="0.25">
      <c r="A39" s="5" t="s">
        <v>1925</v>
      </c>
      <c r="B39" s="2" t="s">
        <v>1926</v>
      </c>
      <c r="C39" s="3">
        <v>1</v>
      </c>
      <c r="D39" s="6">
        <v>29.99</v>
      </c>
      <c r="E39" s="3">
        <v>1006349800</v>
      </c>
      <c r="F39" s="2" t="s">
        <v>2374</v>
      </c>
      <c r="G39" s="7"/>
      <c r="H39" s="2" t="s">
        <v>2532</v>
      </c>
      <c r="I39" s="2" t="s">
        <v>2474</v>
      </c>
      <c r="J39" s="2" t="s">
        <v>2361</v>
      </c>
      <c r="K39" s="2" t="s">
        <v>2831</v>
      </c>
      <c r="L39" s="8" t="str">
        <f>HYPERLINK("http://slimages.macys.com/is/image/MCY/13469432 ")</f>
        <v xml:space="preserve">http://slimages.macys.com/is/image/MCY/13469432 </v>
      </c>
    </row>
    <row r="40" spans="1:12" ht="24.75" x14ac:dyDescent="0.25">
      <c r="A40" s="5" t="s">
        <v>1927</v>
      </c>
      <c r="B40" s="2" t="s">
        <v>1928</v>
      </c>
      <c r="C40" s="3">
        <v>1</v>
      </c>
      <c r="D40" s="6">
        <v>29.99</v>
      </c>
      <c r="E40" s="3" t="s">
        <v>1929</v>
      </c>
      <c r="F40" s="2" t="s">
        <v>2440</v>
      </c>
      <c r="G40" s="7"/>
      <c r="H40" s="2" t="s">
        <v>2419</v>
      </c>
      <c r="I40" s="2" t="s">
        <v>3104</v>
      </c>
      <c r="J40" s="2" t="s">
        <v>2361</v>
      </c>
      <c r="K40" s="2"/>
      <c r="L40" s="8" t="str">
        <f>HYPERLINK("http://slimages.macys.com/is/image/MCY/10043930 ")</f>
        <v xml:space="preserve">http://slimages.macys.com/is/image/MCY/10043930 </v>
      </c>
    </row>
    <row r="41" spans="1:12" ht="84.75" x14ac:dyDescent="0.25">
      <c r="A41" s="5" t="s">
        <v>1930</v>
      </c>
      <c r="B41" s="2" t="s">
        <v>1931</v>
      </c>
      <c r="C41" s="3">
        <v>1</v>
      </c>
      <c r="D41" s="6">
        <v>29.99</v>
      </c>
      <c r="E41" s="3" t="s">
        <v>1932</v>
      </c>
      <c r="F41" s="2" t="s">
        <v>2640</v>
      </c>
      <c r="G41" s="7"/>
      <c r="H41" s="2" t="s">
        <v>2459</v>
      </c>
      <c r="I41" s="2" t="s">
        <v>2383</v>
      </c>
      <c r="J41" s="2" t="s">
        <v>2361</v>
      </c>
      <c r="K41" s="2" t="s">
        <v>1933</v>
      </c>
      <c r="L41" s="8" t="str">
        <f>HYPERLINK("http://slimages.macys.com/is/image/MCY/10944193 ")</f>
        <v xml:space="preserve">http://slimages.macys.com/is/image/MCY/10944193 </v>
      </c>
    </row>
    <row r="42" spans="1:12" ht="24.75" x14ac:dyDescent="0.25">
      <c r="A42" s="5" t="s">
        <v>1934</v>
      </c>
      <c r="B42" s="2" t="s">
        <v>1935</v>
      </c>
      <c r="C42" s="3">
        <v>1</v>
      </c>
      <c r="D42" s="6">
        <v>29.99</v>
      </c>
      <c r="E42" s="3" t="s">
        <v>1936</v>
      </c>
      <c r="F42" s="2" t="s">
        <v>2424</v>
      </c>
      <c r="G42" s="7"/>
      <c r="H42" s="2" t="s">
        <v>2459</v>
      </c>
      <c r="I42" s="2" t="s">
        <v>1937</v>
      </c>
      <c r="J42" s="2" t="s">
        <v>2361</v>
      </c>
      <c r="K42" s="2" t="s">
        <v>1938</v>
      </c>
      <c r="L42" s="8" t="str">
        <f>HYPERLINK("http://slimages.macys.com/is/image/MCY/3425818 ")</f>
        <v xml:space="preserve">http://slimages.macys.com/is/image/MCY/3425818 </v>
      </c>
    </row>
    <row r="43" spans="1:12" ht="24.75" x14ac:dyDescent="0.25">
      <c r="A43" s="5" t="s">
        <v>1939</v>
      </c>
      <c r="B43" s="2" t="s">
        <v>1940</v>
      </c>
      <c r="C43" s="3">
        <v>1</v>
      </c>
      <c r="D43" s="6">
        <v>19.989999999999998</v>
      </c>
      <c r="E43" s="3" t="s">
        <v>1941</v>
      </c>
      <c r="F43" s="2" t="s">
        <v>2418</v>
      </c>
      <c r="G43" s="7" t="s">
        <v>1942</v>
      </c>
      <c r="H43" s="2" t="s">
        <v>1844</v>
      </c>
      <c r="I43" s="2" t="s">
        <v>1845</v>
      </c>
      <c r="J43" s="2" t="s">
        <v>2361</v>
      </c>
      <c r="K43" s="2"/>
      <c r="L43" s="8" t="str">
        <f>HYPERLINK("http://slimages.macys.com/is/image/MCY/3713980 ")</f>
        <v xml:space="preserve">http://slimages.macys.com/is/image/MCY/3713980 </v>
      </c>
    </row>
    <row r="44" spans="1:12" ht="24.75" x14ac:dyDescent="0.25">
      <c r="A44" s="5" t="s">
        <v>1943</v>
      </c>
      <c r="B44" s="2" t="s">
        <v>1944</v>
      </c>
      <c r="C44" s="3">
        <v>1</v>
      </c>
      <c r="D44" s="6">
        <v>29.99</v>
      </c>
      <c r="E44" s="3">
        <v>73529</v>
      </c>
      <c r="F44" s="2"/>
      <c r="G44" s="7"/>
      <c r="H44" s="2" t="s">
        <v>2459</v>
      </c>
      <c r="I44" s="2" t="s">
        <v>2807</v>
      </c>
      <c r="J44" s="2" t="s">
        <v>2361</v>
      </c>
      <c r="K44" s="2" t="s">
        <v>1945</v>
      </c>
      <c r="L44" s="8" t="str">
        <f>HYPERLINK("http://slimages.macys.com/is/image/MCY/3085430 ")</f>
        <v xml:space="preserve">http://slimages.macys.com/is/image/MCY/3085430 </v>
      </c>
    </row>
    <row r="45" spans="1:12" ht="24.75" x14ac:dyDescent="0.25">
      <c r="A45" s="5" t="s">
        <v>1946</v>
      </c>
      <c r="B45" s="2" t="s">
        <v>1947</v>
      </c>
      <c r="C45" s="3">
        <v>1</v>
      </c>
      <c r="D45" s="6">
        <v>29.99</v>
      </c>
      <c r="E45" s="3" t="s">
        <v>1948</v>
      </c>
      <c r="F45" s="2" t="s">
        <v>2506</v>
      </c>
      <c r="G45" s="7" t="s">
        <v>2382</v>
      </c>
      <c r="H45" s="2" t="s">
        <v>2419</v>
      </c>
      <c r="I45" s="2" t="s">
        <v>2632</v>
      </c>
      <c r="J45" s="2" t="s">
        <v>2361</v>
      </c>
      <c r="K45" s="2" t="s">
        <v>2831</v>
      </c>
      <c r="L45" s="8" t="str">
        <f>HYPERLINK("http://slimages.macys.com/is/image/MCY/9456583 ")</f>
        <v xml:space="preserve">http://slimages.macys.com/is/image/MCY/9456583 </v>
      </c>
    </row>
    <row r="46" spans="1:12" ht="24.75" x14ac:dyDescent="0.25">
      <c r="A46" s="5" t="s">
        <v>1949</v>
      </c>
      <c r="B46" s="2" t="s">
        <v>1950</v>
      </c>
      <c r="C46" s="3">
        <v>1</v>
      </c>
      <c r="D46" s="6">
        <v>29.99</v>
      </c>
      <c r="E46" s="3" t="s">
        <v>1951</v>
      </c>
      <c r="F46" s="2" t="s">
        <v>2488</v>
      </c>
      <c r="G46" s="7" t="s">
        <v>2382</v>
      </c>
      <c r="H46" s="2" t="s">
        <v>2419</v>
      </c>
      <c r="I46" s="2" t="s">
        <v>2632</v>
      </c>
      <c r="J46" s="2" t="s">
        <v>2361</v>
      </c>
      <c r="K46" s="2" t="s">
        <v>2831</v>
      </c>
      <c r="L46" s="8" t="str">
        <f>HYPERLINK("http://slimages.macys.com/is/image/MCY/9456583 ")</f>
        <v xml:space="preserve">http://slimages.macys.com/is/image/MCY/9456583 </v>
      </c>
    </row>
    <row r="47" spans="1:12" ht="24.75" x14ac:dyDescent="0.25">
      <c r="A47" s="5" t="s">
        <v>1952</v>
      </c>
      <c r="B47" s="2" t="s">
        <v>1953</v>
      </c>
      <c r="C47" s="3">
        <v>3</v>
      </c>
      <c r="D47" s="6">
        <v>19.989999999999998</v>
      </c>
      <c r="E47" s="3" t="s">
        <v>1954</v>
      </c>
      <c r="F47" s="2" t="s">
        <v>2374</v>
      </c>
      <c r="G47" s="7"/>
      <c r="H47" s="2" t="s">
        <v>2446</v>
      </c>
      <c r="I47" s="2" t="s">
        <v>2547</v>
      </c>
      <c r="J47" s="2" t="s">
        <v>2361</v>
      </c>
      <c r="K47" s="2"/>
      <c r="L47" s="8" t="str">
        <f>HYPERLINK("http://slimages.macys.com/is/image/MCY/8749139 ")</f>
        <v xml:space="preserve">http://slimages.macys.com/is/image/MCY/8749139 </v>
      </c>
    </row>
    <row r="48" spans="1:12" ht="48.75" x14ac:dyDescent="0.25">
      <c r="A48" s="5" t="s">
        <v>1955</v>
      </c>
      <c r="B48" s="2" t="s">
        <v>1956</v>
      </c>
      <c r="C48" s="3">
        <v>1</v>
      </c>
      <c r="D48" s="6">
        <v>24.99</v>
      </c>
      <c r="E48" s="3" t="s">
        <v>1957</v>
      </c>
      <c r="F48" s="2" t="s">
        <v>2394</v>
      </c>
      <c r="G48" s="7"/>
      <c r="H48" s="2" t="s">
        <v>2459</v>
      </c>
      <c r="I48" s="2" t="s">
        <v>2447</v>
      </c>
      <c r="J48" s="2" t="s">
        <v>2361</v>
      </c>
      <c r="K48" s="2" t="s">
        <v>1958</v>
      </c>
      <c r="L48" s="8" t="str">
        <f>HYPERLINK("http://slimages.macys.com/is/image/MCY/3660119 ")</f>
        <v xml:space="preserve">http://slimages.macys.com/is/image/MCY/3660119 </v>
      </c>
    </row>
    <row r="49" spans="1:12" ht="24.75" x14ac:dyDescent="0.25">
      <c r="A49" s="5" t="s">
        <v>1959</v>
      </c>
      <c r="B49" s="2" t="s">
        <v>1960</v>
      </c>
      <c r="C49" s="3">
        <v>1</v>
      </c>
      <c r="D49" s="6">
        <v>29.99</v>
      </c>
      <c r="E49" s="3" t="s">
        <v>1961</v>
      </c>
      <c r="F49" s="2" t="s">
        <v>1400</v>
      </c>
      <c r="G49" s="7" t="s">
        <v>3039</v>
      </c>
      <c r="H49" s="2" t="s">
        <v>2375</v>
      </c>
      <c r="I49" s="2" t="s">
        <v>3446</v>
      </c>
      <c r="J49" s="2" t="s">
        <v>2361</v>
      </c>
      <c r="K49" s="2"/>
      <c r="L49" s="8" t="str">
        <f>HYPERLINK("http://slimages.macys.com/is/image/MCY/8654152 ")</f>
        <v xml:space="preserve">http://slimages.macys.com/is/image/MCY/8654152 </v>
      </c>
    </row>
    <row r="50" spans="1:12" ht="24.75" x14ac:dyDescent="0.25">
      <c r="A50" s="5" t="s">
        <v>1962</v>
      </c>
      <c r="B50" s="2" t="s">
        <v>1963</v>
      </c>
      <c r="C50" s="3">
        <v>1</v>
      </c>
      <c r="D50" s="6">
        <v>19.989999999999998</v>
      </c>
      <c r="E50" s="3" t="s">
        <v>1964</v>
      </c>
      <c r="F50" s="2" t="s">
        <v>2374</v>
      </c>
      <c r="G50" s="7" t="s">
        <v>2382</v>
      </c>
      <c r="H50" s="2" t="s">
        <v>2419</v>
      </c>
      <c r="I50" s="2" t="s">
        <v>2632</v>
      </c>
      <c r="J50" s="2" t="s">
        <v>2361</v>
      </c>
      <c r="K50" s="2" t="s">
        <v>2831</v>
      </c>
      <c r="L50" s="8" t="str">
        <f>HYPERLINK("http://slimages.macys.com/is/image/MCY/9456563 ")</f>
        <v xml:space="preserve">http://slimages.macys.com/is/image/MCY/9456563 </v>
      </c>
    </row>
    <row r="51" spans="1:12" ht="24.75" x14ac:dyDescent="0.25">
      <c r="A51" s="5" t="s">
        <v>1965</v>
      </c>
      <c r="B51" s="2" t="s">
        <v>1966</v>
      </c>
      <c r="C51" s="3">
        <v>1</v>
      </c>
      <c r="D51" s="6">
        <v>15.99</v>
      </c>
      <c r="E51" s="3">
        <v>601555424022</v>
      </c>
      <c r="F51" s="2" t="s">
        <v>2536</v>
      </c>
      <c r="G51" s="7" t="s">
        <v>2531</v>
      </c>
      <c r="H51" s="2" t="s">
        <v>2446</v>
      </c>
      <c r="I51" s="2" t="s">
        <v>3479</v>
      </c>
      <c r="J51" s="2" t="s">
        <v>2361</v>
      </c>
      <c r="K51" s="2" t="s">
        <v>2397</v>
      </c>
      <c r="L51" s="8" t="str">
        <f>HYPERLINK("http://slimages.macys.com/is/image/MCY/2844654 ")</f>
        <v xml:space="preserve">http://slimages.macys.com/is/image/MCY/2844654 </v>
      </c>
    </row>
    <row r="52" spans="1:12" ht="24.75" x14ac:dyDescent="0.25">
      <c r="A52" s="5" t="s">
        <v>2524</v>
      </c>
      <c r="B52" s="2" t="s">
        <v>2525</v>
      </c>
      <c r="C52" s="3">
        <v>2</v>
      </c>
      <c r="D52" s="6">
        <v>34.99</v>
      </c>
      <c r="E52" s="3" t="s">
        <v>2526</v>
      </c>
      <c r="F52" s="2" t="s">
        <v>2424</v>
      </c>
      <c r="G52" s="7"/>
      <c r="H52" s="2" t="s">
        <v>2395</v>
      </c>
      <c r="I52" s="2" t="s">
        <v>2527</v>
      </c>
      <c r="J52" s="2" t="s">
        <v>2361</v>
      </c>
      <c r="K52" s="2" t="s">
        <v>2377</v>
      </c>
      <c r="L52" s="8" t="str">
        <f>HYPERLINK("http://slimages.macys.com/is/image/MCY/14601403 ")</f>
        <v xml:space="preserve">http://slimages.macys.com/is/image/MCY/14601403 </v>
      </c>
    </row>
    <row r="53" spans="1:12" ht="24.75" x14ac:dyDescent="0.25">
      <c r="A53" s="5" t="s">
        <v>1967</v>
      </c>
      <c r="B53" s="2" t="s">
        <v>1968</v>
      </c>
      <c r="C53" s="3">
        <v>2</v>
      </c>
      <c r="D53" s="6">
        <v>15.99</v>
      </c>
      <c r="E53" s="3" t="s">
        <v>2695</v>
      </c>
      <c r="F53" s="2" t="s">
        <v>2927</v>
      </c>
      <c r="G53" s="7"/>
      <c r="H53" s="2" t="s">
        <v>2419</v>
      </c>
      <c r="I53" s="2" t="s">
        <v>2697</v>
      </c>
      <c r="J53" s="2" t="s">
        <v>2361</v>
      </c>
      <c r="K53" s="2" t="s">
        <v>2377</v>
      </c>
      <c r="L53" s="8" t="str">
        <f>HYPERLINK("http://slimages.macys.com/is/image/MCY/10007760 ")</f>
        <v xml:space="preserve">http://slimages.macys.com/is/image/MCY/10007760 </v>
      </c>
    </row>
    <row r="54" spans="1:12" ht="24.75" x14ac:dyDescent="0.25">
      <c r="A54" s="5" t="s">
        <v>1969</v>
      </c>
      <c r="B54" s="2" t="s">
        <v>1970</v>
      </c>
      <c r="C54" s="3">
        <v>1</v>
      </c>
      <c r="D54" s="6">
        <v>19.989999999999998</v>
      </c>
      <c r="E54" s="3" t="s">
        <v>1971</v>
      </c>
      <c r="F54" s="2" t="s">
        <v>2381</v>
      </c>
      <c r="G54" s="7"/>
      <c r="H54" s="2" t="s">
        <v>2459</v>
      </c>
      <c r="I54" s="2" t="s">
        <v>2406</v>
      </c>
      <c r="J54" s="2" t="s">
        <v>2361</v>
      </c>
      <c r="K54" s="2" t="s">
        <v>3075</v>
      </c>
      <c r="L54" s="8" t="str">
        <f>HYPERLINK("http://slimages.macys.com/is/image/MCY/10044251 ")</f>
        <v xml:space="preserve">http://slimages.macys.com/is/image/MCY/10044251 </v>
      </c>
    </row>
    <row r="55" spans="1:12" ht="24.75" x14ac:dyDescent="0.25">
      <c r="A55" s="5" t="s">
        <v>1972</v>
      </c>
      <c r="B55" s="2" t="s">
        <v>1973</v>
      </c>
      <c r="C55" s="3">
        <v>1</v>
      </c>
      <c r="D55" s="6">
        <v>17.989999999999998</v>
      </c>
      <c r="E55" s="3" t="s">
        <v>1974</v>
      </c>
      <c r="F55" s="2" t="s">
        <v>2440</v>
      </c>
      <c r="G55" s="7"/>
      <c r="H55" s="2" t="s">
        <v>2359</v>
      </c>
      <c r="I55" s="2" t="s">
        <v>2406</v>
      </c>
      <c r="J55" s="2" t="s">
        <v>2361</v>
      </c>
      <c r="K55" s="2" t="s">
        <v>1975</v>
      </c>
      <c r="L55" s="8" t="str">
        <f>HYPERLINK("http://slimages.macys.com/is/image/MCY/10073855 ")</f>
        <v xml:space="preserve">http://slimages.macys.com/is/image/MCY/10073855 </v>
      </c>
    </row>
    <row r="56" spans="1:12" ht="24.75" x14ac:dyDescent="0.25">
      <c r="A56" s="5" t="s">
        <v>1976</v>
      </c>
      <c r="B56" s="2" t="s">
        <v>1973</v>
      </c>
      <c r="C56" s="3">
        <v>1</v>
      </c>
      <c r="D56" s="6">
        <v>17.989999999999998</v>
      </c>
      <c r="E56" s="3" t="s">
        <v>1977</v>
      </c>
      <c r="F56" s="2" t="s">
        <v>2440</v>
      </c>
      <c r="G56" s="7"/>
      <c r="H56" s="2" t="s">
        <v>2359</v>
      </c>
      <c r="I56" s="2" t="s">
        <v>2406</v>
      </c>
      <c r="J56" s="2" t="s">
        <v>2361</v>
      </c>
      <c r="K56" s="2" t="s">
        <v>1975</v>
      </c>
      <c r="L56" s="8" t="str">
        <f>HYPERLINK("http://slimages.macys.com/is/image/MCY/10073855 ")</f>
        <v xml:space="preserve">http://slimages.macys.com/is/image/MCY/10073855 </v>
      </c>
    </row>
    <row r="57" spans="1:12" ht="24.75" x14ac:dyDescent="0.25">
      <c r="A57" s="5" t="s">
        <v>1978</v>
      </c>
      <c r="B57" s="2" t="s">
        <v>1979</v>
      </c>
      <c r="C57" s="3">
        <v>1</v>
      </c>
      <c r="D57" s="6">
        <v>14.99</v>
      </c>
      <c r="E57" s="3" t="s">
        <v>1980</v>
      </c>
      <c r="F57" s="2" t="s">
        <v>2424</v>
      </c>
      <c r="G57" s="7"/>
      <c r="H57" s="2" t="s">
        <v>2359</v>
      </c>
      <c r="I57" s="2" t="s">
        <v>2406</v>
      </c>
      <c r="J57" s="2" t="s">
        <v>2432</v>
      </c>
      <c r="K57" s="2" t="s">
        <v>2377</v>
      </c>
      <c r="L57" s="8" t="str">
        <f>HYPERLINK("http://slimages.macys.com/is/image/MCY/12791406 ")</f>
        <v xml:space="preserve">http://slimages.macys.com/is/image/MCY/12791406 </v>
      </c>
    </row>
    <row r="58" spans="1:12" ht="24.75" x14ac:dyDescent="0.25">
      <c r="A58" s="5" t="s">
        <v>1981</v>
      </c>
      <c r="B58" s="2" t="s">
        <v>1982</v>
      </c>
      <c r="C58" s="3">
        <v>2</v>
      </c>
      <c r="D58" s="6">
        <v>12.99</v>
      </c>
      <c r="E58" s="3" t="s">
        <v>1983</v>
      </c>
      <c r="F58" s="2"/>
      <c r="G58" s="7"/>
      <c r="H58" s="2" t="s">
        <v>2459</v>
      </c>
      <c r="I58" s="2" t="s">
        <v>3239</v>
      </c>
      <c r="J58" s="2" t="s">
        <v>2361</v>
      </c>
      <c r="K58" s="2" t="s">
        <v>3293</v>
      </c>
      <c r="L58" s="8" t="str">
        <f>HYPERLINK("http://slimages.macys.com/is/image/MCY/2898005 ")</f>
        <v xml:space="preserve">http://slimages.macys.com/is/image/MCY/2898005 </v>
      </c>
    </row>
    <row r="59" spans="1:12" x14ac:dyDescent="0.25">
      <c r="A59" s="5" t="s">
        <v>1984</v>
      </c>
      <c r="B59" s="2" t="s">
        <v>1985</v>
      </c>
      <c r="C59" s="3">
        <v>1</v>
      </c>
      <c r="D59" s="6">
        <v>5.99</v>
      </c>
      <c r="E59" s="3" t="s">
        <v>1986</v>
      </c>
      <c r="F59" s="2" t="s">
        <v>2793</v>
      </c>
      <c r="G59" s="7"/>
      <c r="H59" s="2" t="s">
        <v>2446</v>
      </c>
      <c r="I59" s="2" t="s">
        <v>2932</v>
      </c>
      <c r="J59" s="2" t="s">
        <v>2361</v>
      </c>
      <c r="K59" s="2" t="s">
        <v>2448</v>
      </c>
      <c r="L59" s="8" t="str">
        <f>HYPERLINK("http://slimages.macys.com/is/image/MCY/14750380 ")</f>
        <v xml:space="preserve">http://slimages.macys.com/is/image/MCY/14750380 </v>
      </c>
    </row>
    <row r="60" spans="1:12" x14ac:dyDescent="0.25">
      <c r="A60" s="5" t="s">
        <v>1987</v>
      </c>
      <c r="B60" s="2" t="s">
        <v>1988</v>
      </c>
      <c r="C60" s="3">
        <v>2</v>
      </c>
      <c r="D60" s="6">
        <v>3.99</v>
      </c>
      <c r="E60" s="3" t="s">
        <v>1989</v>
      </c>
      <c r="F60" s="2" t="s">
        <v>2793</v>
      </c>
      <c r="G60" s="7"/>
      <c r="H60" s="2" t="s">
        <v>2446</v>
      </c>
      <c r="I60" s="2" t="s">
        <v>2932</v>
      </c>
      <c r="J60" s="2" t="s">
        <v>2361</v>
      </c>
      <c r="K60" s="2" t="s">
        <v>2448</v>
      </c>
      <c r="L60" s="8" t="str">
        <f>HYPERLINK("http://slimages.macys.com/is/image/MCY/14750388 ")</f>
        <v xml:space="preserve">http://slimages.macys.com/is/image/MCY/14750388 </v>
      </c>
    </row>
    <row r="61" spans="1:12" ht="24.75" x14ac:dyDescent="0.25">
      <c r="A61" s="5" t="s">
        <v>1990</v>
      </c>
      <c r="B61" s="2" t="s">
        <v>1991</v>
      </c>
      <c r="C61" s="3">
        <v>1</v>
      </c>
      <c r="D61" s="6">
        <v>74.989999999999995</v>
      </c>
      <c r="E61" s="3" t="s">
        <v>1992</v>
      </c>
      <c r="F61" s="2"/>
      <c r="G61" s="7"/>
      <c r="H61" s="2" t="s">
        <v>2359</v>
      </c>
      <c r="I61" s="2" t="s">
        <v>2727</v>
      </c>
      <c r="J61" s="2"/>
      <c r="K61" s="2"/>
      <c r="L61" s="8"/>
    </row>
    <row r="62" spans="1:12" ht="24.75" x14ac:dyDescent="0.25">
      <c r="A62" s="5" t="s">
        <v>1993</v>
      </c>
      <c r="B62" s="2" t="s">
        <v>1994</v>
      </c>
      <c r="C62" s="3">
        <v>3</v>
      </c>
      <c r="D62" s="6">
        <v>66.989999999999995</v>
      </c>
      <c r="E62" s="3" t="s">
        <v>1995</v>
      </c>
      <c r="F62" s="2" t="s">
        <v>2472</v>
      </c>
      <c r="G62" s="7"/>
      <c r="H62" s="2" t="s">
        <v>2359</v>
      </c>
      <c r="I62" s="2" t="s">
        <v>2950</v>
      </c>
      <c r="J62" s="2"/>
      <c r="K62" s="2"/>
      <c r="L62" s="8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/>
  </sheetViews>
  <sheetFormatPr defaultRowHeight="30" customHeight="1" x14ac:dyDescent="0.25"/>
  <cols>
    <col min="1" max="1" width="14.28515625" customWidth="1"/>
    <col min="2" max="2" width="22.28515625" customWidth="1"/>
    <col min="3" max="4" width="15" customWidth="1"/>
    <col min="5" max="5" width="16.57031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1996</v>
      </c>
      <c r="B2" s="2" t="s">
        <v>1997</v>
      </c>
      <c r="C2" s="3">
        <v>1</v>
      </c>
      <c r="D2" s="6">
        <v>329.99</v>
      </c>
      <c r="E2" s="3">
        <v>650652327004</v>
      </c>
      <c r="F2" s="2" t="s">
        <v>2381</v>
      </c>
      <c r="G2" s="7"/>
      <c r="H2" s="2" t="s">
        <v>1998</v>
      </c>
      <c r="I2" s="2" t="s">
        <v>3479</v>
      </c>
      <c r="J2" s="2" t="s">
        <v>2432</v>
      </c>
      <c r="K2" s="2" t="s">
        <v>2936</v>
      </c>
      <c r="L2" s="8" t="str">
        <f>HYPERLINK("http://images.bloomingdales.com/is/image/BLM/9383896 ")</f>
        <v xml:space="preserve">http://images.bloomingdales.com/is/image/BLM/9383896 </v>
      </c>
    </row>
    <row r="3" spans="1:12" ht="30" customHeight="1" x14ac:dyDescent="0.25">
      <c r="A3" s="5" t="s">
        <v>1999</v>
      </c>
      <c r="B3" s="2" t="s">
        <v>2000</v>
      </c>
      <c r="C3" s="3">
        <v>1</v>
      </c>
      <c r="D3" s="6">
        <v>329.99</v>
      </c>
      <c r="E3" s="3" t="s">
        <v>2001</v>
      </c>
      <c r="F3" s="2" t="s">
        <v>2374</v>
      </c>
      <c r="G3" s="7"/>
      <c r="H3" s="2" t="s">
        <v>2359</v>
      </c>
      <c r="I3" s="2" t="s">
        <v>2583</v>
      </c>
      <c r="J3" s="2" t="s">
        <v>2361</v>
      </c>
      <c r="K3" s="2" t="s">
        <v>2377</v>
      </c>
      <c r="L3" s="8" t="str">
        <f>HYPERLINK("http://slimages.macys.com/is/image/MCY/12750042 ")</f>
        <v xml:space="preserve">http://slimages.macys.com/is/image/MCY/12750042 </v>
      </c>
    </row>
    <row r="4" spans="1:12" ht="30" customHeight="1" x14ac:dyDescent="0.25">
      <c r="A4" s="5" t="s">
        <v>2002</v>
      </c>
      <c r="B4" s="2" t="s">
        <v>2003</v>
      </c>
      <c r="C4" s="3">
        <v>1</v>
      </c>
      <c r="D4" s="6">
        <v>219.99</v>
      </c>
      <c r="E4" s="3" t="s">
        <v>2004</v>
      </c>
      <c r="F4" s="2" t="s">
        <v>3194</v>
      </c>
      <c r="G4" s="7"/>
      <c r="H4" s="2" t="s">
        <v>2879</v>
      </c>
      <c r="I4" s="2" t="s">
        <v>2880</v>
      </c>
      <c r="J4" s="2" t="s">
        <v>2361</v>
      </c>
      <c r="K4" s="2" t="s">
        <v>2397</v>
      </c>
      <c r="L4" s="8" t="str">
        <f>HYPERLINK("http://slimages.macys.com/is/image/MCY/3714161 ")</f>
        <v xml:space="preserve">http://slimages.macys.com/is/image/MCY/3714161 </v>
      </c>
    </row>
    <row r="5" spans="1:12" ht="30" customHeight="1" x14ac:dyDescent="0.25">
      <c r="A5" s="5" t="s">
        <v>2005</v>
      </c>
      <c r="B5" s="2" t="s">
        <v>2006</v>
      </c>
      <c r="C5" s="3">
        <v>1</v>
      </c>
      <c r="D5" s="6">
        <v>209.99</v>
      </c>
      <c r="E5" s="3" t="s">
        <v>2007</v>
      </c>
      <c r="F5" s="2" t="s">
        <v>2366</v>
      </c>
      <c r="G5" s="7"/>
      <c r="H5" s="2" t="s">
        <v>2359</v>
      </c>
      <c r="I5" s="2" t="s">
        <v>2406</v>
      </c>
      <c r="J5" s="2" t="s">
        <v>2361</v>
      </c>
      <c r="K5" s="2" t="s">
        <v>2008</v>
      </c>
      <c r="L5" s="8" t="str">
        <f>HYPERLINK("http://slimages.macys.com/is/image/MCY/9767748 ")</f>
        <v xml:space="preserve">http://slimages.macys.com/is/image/MCY/9767748 </v>
      </c>
    </row>
    <row r="6" spans="1:12" ht="30" customHeight="1" x14ac:dyDescent="0.25">
      <c r="A6" s="5" t="s">
        <v>2563</v>
      </c>
      <c r="B6" s="2" t="s">
        <v>2564</v>
      </c>
      <c r="C6" s="3">
        <v>1</v>
      </c>
      <c r="D6" s="6">
        <v>198.99</v>
      </c>
      <c r="E6" s="3" t="s">
        <v>2565</v>
      </c>
      <c r="F6" s="2" t="s">
        <v>2517</v>
      </c>
      <c r="G6" s="7"/>
      <c r="H6" s="2" t="s">
        <v>2359</v>
      </c>
      <c r="I6" s="2" t="s">
        <v>2406</v>
      </c>
      <c r="J6" s="2" t="s">
        <v>2361</v>
      </c>
      <c r="K6" s="2" t="s">
        <v>2566</v>
      </c>
      <c r="L6" s="8" t="str">
        <f>HYPERLINK("http://slimages.macys.com/is/image/MCY/9803586 ")</f>
        <v xml:space="preserve">http://slimages.macys.com/is/image/MCY/9803586 </v>
      </c>
    </row>
    <row r="7" spans="1:12" ht="30" customHeight="1" x14ac:dyDescent="0.25">
      <c r="A7" s="5" t="s">
        <v>2009</v>
      </c>
      <c r="B7" s="2" t="s">
        <v>2010</v>
      </c>
      <c r="C7" s="3">
        <v>1</v>
      </c>
      <c r="D7" s="6">
        <v>179.99</v>
      </c>
      <c r="E7" s="3" t="s">
        <v>2011</v>
      </c>
      <c r="F7" s="2" t="s">
        <v>2374</v>
      </c>
      <c r="G7" s="7"/>
      <c r="H7" s="2" t="s">
        <v>2749</v>
      </c>
      <c r="I7" s="2" t="s">
        <v>2750</v>
      </c>
      <c r="J7" s="2" t="s">
        <v>2361</v>
      </c>
      <c r="K7" s="2" t="s">
        <v>1142</v>
      </c>
      <c r="L7" s="8" t="str">
        <f>HYPERLINK("http://slimages.macys.com/is/image/MCY/9936650 ")</f>
        <v xml:space="preserve">http://slimages.macys.com/is/image/MCY/9936650 </v>
      </c>
    </row>
    <row r="8" spans="1:12" ht="30" customHeight="1" x14ac:dyDescent="0.25">
      <c r="A8" s="5" t="s">
        <v>2012</v>
      </c>
      <c r="B8" s="2" t="s">
        <v>2013</v>
      </c>
      <c r="C8" s="3">
        <v>1</v>
      </c>
      <c r="D8" s="6">
        <v>154.99</v>
      </c>
      <c r="E8" s="3" t="s">
        <v>2014</v>
      </c>
      <c r="F8" s="2" t="s">
        <v>3024</v>
      </c>
      <c r="G8" s="7"/>
      <c r="H8" s="2" t="s">
        <v>2359</v>
      </c>
      <c r="I8" s="2" t="s">
        <v>2406</v>
      </c>
      <c r="J8" s="2" t="s">
        <v>2361</v>
      </c>
      <c r="K8" s="2" t="s">
        <v>2015</v>
      </c>
      <c r="L8" s="8" t="str">
        <f>HYPERLINK("http://slimages.macys.com/is/image/MCY/9627868 ")</f>
        <v xml:space="preserve">http://slimages.macys.com/is/image/MCY/9627868 </v>
      </c>
    </row>
    <row r="9" spans="1:12" ht="30" customHeight="1" x14ac:dyDescent="0.25">
      <c r="A9" s="5" t="s">
        <v>1610</v>
      </c>
      <c r="B9" s="2" t="s">
        <v>1611</v>
      </c>
      <c r="C9" s="3">
        <v>1</v>
      </c>
      <c r="D9" s="6">
        <v>139.99</v>
      </c>
      <c r="E9" s="3" t="s">
        <v>1612</v>
      </c>
      <c r="F9" s="2" t="s">
        <v>2582</v>
      </c>
      <c r="G9" s="7"/>
      <c r="H9" s="2" t="s">
        <v>2359</v>
      </c>
      <c r="I9" s="2" t="s">
        <v>2406</v>
      </c>
      <c r="J9" s="2" t="s">
        <v>2361</v>
      </c>
      <c r="K9" s="2" t="s">
        <v>1613</v>
      </c>
      <c r="L9" s="8" t="str">
        <f>HYPERLINK("http://slimages.macys.com/is/image/MCY/9566783 ")</f>
        <v xml:space="preserve">http://slimages.macys.com/is/image/MCY/9566783 </v>
      </c>
    </row>
    <row r="10" spans="1:12" ht="30" customHeight="1" x14ac:dyDescent="0.25">
      <c r="A10" s="5" t="s">
        <v>2016</v>
      </c>
      <c r="B10" s="2" t="s">
        <v>2017</v>
      </c>
      <c r="C10" s="3">
        <v>1</v>
      </c>
      <c r="D10" s="6">
        <v>180.99</v>
      </c>
      <c r="E10" s="3" t="s">
        <v>2018</v>
      </c>
      <c r="F10" s="2" t="s">
        <v>2366</v>
      </c>
      <c r="G10" s="7" t="s">
        <v>2606</v>
      </c>
      <c r="H10" s="2" t="s">
        <v>2359</v>
      </c>
      <c r="I10" s="2" t="s">
        <v>1232</v>
      </c>
      <c r="J10" s="2" t="s">
        <v>2361</v>
      </c>
      <c r="K10" s="2" t="s">
        <v>2019</v>
      </c>
      <c r="L10" s="8" t="str">
        <f>HYPERLINK("http://slimages.macys.com/is/image/MCY/10783675 ")</f>
        <v xml:space="preserve">http://slimages.macys.com/is/image/MCY/10783675 </v>
      </c>
    </row>
    <row r="11" spans="1:12" ht="30" customHeight="1" x14ac:dyDescent="0.25">
      <c r="A11" s="5" t="s">
        <v>2020</v>
      </c>
      <c r="B11" s="2" t="s">
        <v>2021</v>
      </c>
      <c r="C11" s="3">
        <v>1</v>
      </c>
      <c r="D11" s="6">
        <v>129.99</v>
      </c>
      <c r="E11" s="3" t="s">
        <v>2022</v>
      </c>
      <c r="F11" s="2" t="s">
        <v>1721</v>
      </c>
      <c r="G11" s="7"/>
      <c r="H11" s="2" t="s">
        <v>2359</v>
      </c>
      <c r="I11" s="2" t="s">
        <v>2406</v>
      </c>
      <c r="J11" s="2" t="s">
        <v>2361</v>
      </c>
      <c r="K11" s="2" t="s">
        <v>1279</v>
      </c>
      <c r="L11" s="8" t="str">
        <f>HYPERLINK("http://slimages.macys.com/is/image/MCY/8930319 ")</f>
        <v xml:space="preserve">http://slimages.macys.com/is/image/MCY/8930319 </v>
      </c>
    </row>
    <row r="12" spans="1:12" ht="30" customHeight="1" x14ac:dyDescent="0.25">
      <c r="A12" s="5" t="s">
        <v>2023</v>
      </c>
      <c r="B12" s="2" t="s">
        <v>2024</v>
      </c>
      <c r="C12" s="3">
        <v>1</v>
      </c>
      <c r="D12" s="6">
        <v>159.99</v>
      </c>
      <c r="E12" s="3" t="s">
        <v>2025</v>
      </c>
      <c r="F12" s="2" t="s">
        <v>2401</v>
      </c>
      <c r="G12" s="7"/>
      <c r="H12" s="2" t="s">
        <v>2395</v>
      </c>
      <c r="I12" s="2" t="s">
        <v>2527</v>
      </c>
      <c r="J12" s="2" t="s">
        <v>2361</v>
      </c>
      <c r="K12" s="2"/>
      <c r="L12" s="8" t="str">
        <f>HYPERLINK("http://slimages.macys.com/is/image/MCY/14607099 ")</f>
        <v xml:space="preserve">http://slimages.macys.com/is/image/MCY/14607099 </v>
      </c>
    </row>
    <row r="13" spans="1:12" ht="30" customHeight="1" x14ac:dyDescent="0.25">
      <c r="A13" s="5" t="s">
        <v>2026</v>
      </c>
      <c r="B13" s="2" t="s">
        <v>2027</v>
      </c>
      <c r="C13" s="3">
        <v>1</v>
      </c>
      <c r="D13" s="6">
        <v>99.99</v>
      </c>
      <c r="E13" s="3" t="s">
        <v>2028</v>
      </c>
      <c r="F13" s="2" t="s">
        <v>2517</v>
      </c>
      <c r="G13" s="7"/>
      <c r="H13" s="2" t="s">
        <v>2419</v>
      </c>
      <c r="I13" s="2" t="s">
        <v>2406</v>
      </c>
      <c r="J13" s="2" t="s">
        <v>2361</v>
      </c>
      <c r="K13" s="2" t="s">
        <v>2029</v>
      </c>
      <c r="L13" s="8" t="str">
        <f>HYPERLINK("http://slimages.macys.com/is/image/MCY/9954286 ")</f>
        <v xml:space="preserve">http://slimages.macys.com/is/image/MCY/9954286 </v>
      </c>
    </row>
    <row r="14" spans="1:12" ht="30" customHeight="1" x14ac:dyDescent="0.25">
      <c r="A14" s="5" t="s">
        <v>2030</v>
      </c>
      <c r="B14" s="2" t="s">
        <v>2031</v>
      </c>
      <c r="C14" s="3">
        <v>1</v>
      </c>
      <c r="D14" s="6">
        <v>125.99</v>
      </c>
      <c r="E14" s="3" t="s">
        <v>2032</v>
      </c>
      <c r="F14" s="2" t="s">
        <v>2381</v>
      </c>
      <c r="G14" s="7"/>
      <c r="H14" s="2" t="s">
        <v>2359</v>
      </c>
      <c r="I14" s="2" t="s">
        <v>2406</v>
      </c>
      <c r="J14" s="2" t="s">
        <v>2361</v>
      </c>
      <c r="K14" s="2" t="s">
        <v>2033</v>
      </c>
      <c r="L14" s="8" t="str">
        <f>HYPERLINK("http://slimages.macys.com/is/image/MCY/11113952 ")</f>
        <v xml:space="preserve">http://slimages.macys.com/is/image/MCY/11113952 </v>
      </c>
    </row>
    <row r="15" spans="1:12" ht="30" customHeight="1" x14ac:dyDescent="0.25">
      <c r="A15" s="5" t="s">
        <v>2034</v>
      </c>
      <c r="B15" s="2" t="s">
        <v>2035</v>
      </c>
      <c r="C15" s="3">
        <v>1</v>
      </c>
      <c r="D15" s="6">
        <v>111.99</v>
      </c>
      <c r="E15" s="3" t="s">
        <v>2036</v>
      </c>
      <c r="F15" s="2" t="s">
        <v>2536</v>
      </c>
      <c r="G15" s="7" t="s">
        <v>2382</v>
      </c>
      <c r="H15" s="2" t="s">
        <v>2359</v>
      </c>
      <c r="I15" s="2" t="s">
        <v>2685</v>
      </c>
      <c r="J15" s="2" t="s">
        <v>2361</v>
      </c>
      <c r="K15" s="2" t="s">
        <v>2656</v>
      </c>
      <c r="L15" s="8" t="str">
        <f>HYPERLINK("http://slimages.macys.com/is/image/MCY/11504658 ")</f>
        <v xml:space="preserve">http://slimages.macys.com/is/image/MCY/11504658 </v>
      </c>
    </row>
    <row r="16" spans="1:12" ht="30" customHeight="1" x14ac:dyDescent="0.25">
      <c r="A16" s="5" t="s">
        <v>2037</v>
      </c>
      <c r="B16" s="2" t="s">
        <v>2038</v>
      </c>
      <c r="C16" s="3">
        <v>1</v>
      </c>
      <c r="D16" s="6">
        <v>129.99</v>
      </c>
      <c r="E16" s="3" t="s">
        <v>2039</v>
      </c>
      <c r="F16" s="2" t="s">
        <v>2381</v>
      </c>
      <c r="G16" s="7"/>
      <c r="H16" s="2" t="s">
        <v>2359</v>
      </c>
      <c r="I16" s="2" t="s">
        <v>2406</v>
      </c>
      <c r="J16" s="2" t="s">
        <v>2361</v>
      </c>
      <c r="K16" s="2" t="s">
        <v>2523</v>
      </c>
      <c r="L16" s="8" t="str">
        <f>HYPERLINK("http://slimages.macys.com/is/image/MCY/9627962 ")</f>
        <v xml:space="preserve">http://slimages.macys.com/is/image/MCY/9627962 </v>
      </c>
    </row>
    <row r="17" spans="1:12" ht="30" customHeight="1" x14ac:dyDescent="0.25">
      <c r="A17" s="5" t="s">
        <v>2040</v>
      </c>
      <c r="B17" s="2" t="s">
        <v>2041</v>
      </c>
      <c r="C17" s="3">
        <v>1</v>
      </c>
      <c r="D17" s="6">
        <v>84.99</v>
      </c>
      <c r="E17" s="3" t="s">
        <v>2042</v>
      </c>
      <c r="F17" s="2" t="s">
        <v>2506</v>
      </c>
      <c r="G17" s="7"/>
      <c r="H17" s="2" t="s">
        <v>2359</v>
      </c>
      <c r="I17" s="2" t="s">
        <v>2406</v>
      </c>
      <c r="J17" s="2" t="s">
        <v>2361</v>
      </c>
      <c r="K17" s="2" t="s">
        <v>2043</v>
      </c>
      <c r="L17" s="8" t="str">
        <f>HYPERLINK("http://slimages.macys.com/is/image/MCY/9500083 ")</f>
        <v xml:space="preserve">http://slimages.macys.com/is/image/MCY/9500083 </v>
      </c>
    </row>
    <row r="18" spans="1:12" ht="30" customHeight="1" x14ac:dyDescent="0.25">
      <c r="A18" s="5" t="s">
        <v>2044</v>
      </c>
      <c r="B18" s="2" t="s">
        <v>2045</v>
      </c>
      <c r="C18" s="3">
        <v>1</v>
      </c>
      <c r="D18" s="6">
        <v>89.99</v>
      </c>
      <c r="E18" s="3" t="s">
        <v>2046</v>
      </c>
      <c r="F18" s="2" t="s">
        <v>2381</v>
      </c>
      <c r="G18" s="7"/>
      <c r="H18" s="2" t="s">
        <v>2473</v>
      </c>
      <c r="I18" s="2" t="s">
        <v>2406</v>
      </c>
      <c r="J18" s="2" t="s">
        <v>2361</v>
      </c>
      <c r="K18" s="2" t="s">
        <v>2047</v>
      </c>
      <c r="L18" s="8" t="str">
        <f>HYPERLINK("http://slimages.macys.com/is/image/MCY/16941922 ")</f>
        <v xml:space="preserve">http://slimages.macys.com/is/image/MCY/16941922 </v>
      </c>
    </row>
    <row r="19" spans="1:12" ht="30" customHeight="1" x14ac:dyDescent="0.25">
      <c r="A19" s="5" t="s">
        <v>2048</v>
      </c>
      <c r="B19" s="2" t="s">
        <v>2049</v>
      </c>
      <c r="C19" s="3">
        <v>1</v>
      </c>
      <c r="D19" s="6">
        <v>88.99</v>
      </c>
      <c r="E19" s="3" t="s">
        <v>2050</v>
      </c>
      <c r="F19" s="2" t="s">
        <v>2366</v>
      </c>
      <c r="G19" s="7"/>
      <c r="H19" s="2" t="s">
        <v>2359</v>
      </c>
      <c r="I19" s="2" t="s">
        <v>2406</v>
      </c>
      <c r="J19" s="2" t="s">
        <v>2361</v>
      </c>
      <c r="K19" s="2" t="s">
        <v>2051</v>
      </c>
      <c r="L19" s="8" t="str">
        <f>HYPERLINK("http://slimages.macys.com/is/image/MCY/9767718 ")</f>
        <v xml:space="preserve">http://slimages.macys.com/is/image/MCY/9767718 </v>
      </c>
    </row>
    <row r="20" spans="1:12" ht="30" customHeight="1" x14ac:dyDescent="0.25">
      <c r="A20" s="5" t="s">
        <v>2052</v>
      </c>
      <c r="B20" s="2" t="s">
        <v>2053</v>
      </c>
      <c r="C20" s="3">
        <v>1</v>
      </c>
      <c r="D20" s="6">
        <v>89.99</v>
      </c>
      <c r="E20" s="3" t="s">
        <v>2054</v>
      </c>
      <c r="F20" s="2" t="s">
        <v>2055</v>
      </c>
      <c r="G20" s="7"/>
      <c r="H20" s="2" t="s">
        <v>2473</v>
      </c>
      <c r="I20" s="2" t="s">
        <v>2406</v>
      </c>
      <c r="J20" s="2" t="s">
        <v>2361</v>
      </c>
      <c r="K20" s="2" t="s">
        <v>2056</v>
      </c>
      <c r="L20" s="8" t="str">
        <f>HYPERLINK("http://slimages.macys.com/is/image/MCY/16528887 ")</f>
        <v xml:space="preserve">http://slimages.macys.com/is/image/MCY/16528887 </v>
      </c>
    </row>
    <row r="21" spans="1:12" ht="30" customHeight="1" x14ac:dyDescent="0.25">
      <c r="A21" s="5" t="s">
        <v>2057</v>
      </c>
      <c r="B21" s="2" t="s">
        <v>2058</v>
      </c>
      <c r="C21" s="3">
        <v>1</v>
      </c>
      <c r="D21" s="6">
        <v>54.99</v>
      </c>
      <c r="E21" s="3" t="s">
        <v>2059</v>
      </c>
      <c r="F21" s="2" t="s">
        <v>3381</v>
      </c>
      <c r="G21" s="7"/>
      <c r="H21" s="2" t="s">
        <v>2537</v>
      </c>
      <c r="I21" s="2" t="s">
        <v>3353</v>
      </c>
      <c r="J21" s="2" t="s">
        <v>2361</v>
      </c>
      <c r="K21" s="2"/>
      <c r="L21" s="8" t="str">
        <f>HYPERLINK("http://slimages.macys.com/is/image/MCY/15178342 ")</f>
        <v xml:space="preserve">http://slimages.macys.com/is/image/MCY/15178342 </v>
      </c>
    </row>
    <row r="22" spans="1:12" ht="30" customHeight="1" x14ac:dyDescent="0.25">
      <c r="A22" s="5" t="s">
        <v>2060</v>
      </c>
      <c r="B22" s="2" t="s">
        <v>2061</v>
      </c>
      <c r="C22" s="3">
        <v>1</v>
      </c>
      <c r="D22" s="6">
        <v>79.989999999999995</v>
      </c>
      <c r="E22" s="3" t="s">
        <v>2062</v>
      </c>
      <c r="F22" s="2" t="s">
        <v>2424</v>
      </c>
      <c r="G22" s="7"/>
      <c r="H22" s="2" t="s">
        <v>2388</v>
      </c>
      <c r="I22" s="2" t="s">
        <v>2425</v>
      </c>
      <c r="J22" s="2" t="s">
        <v>2361</v>
      </c>
      <c r="K22" s="2" t="s">
        <v>2063</v>
      </c>
      <c r="L22" s="8" t="str">
        <f>HYPERLINK("http://slimages.macys.com/is/image/MCY/8069437 ")</f>
        <v xml:space="preserve">http://slimages.macys.com/is/image/MCY/8069437 </v>
      </c>
    </row>
    <row r="23" spans="1:12" ht="30" customHeight="1" x14ac:dyDescent="0.25">
      <c r="A23" s="5" t="s">
        <v>2064</v>
      </c>
      <c r="B23" s="2" t="s">
        <v>2065</v>
      </c>
      <c r="C23" s="3">
        <v>1</v>
      </c>
      <c r="D23" s="6">
        <v>59.99</v>
      </c>
      <c r="E23" s="3" t="s">
        <v>2066</v>
      </c>
      <c r="F23" s="2" t="s">
        <v>2605</v>
      </c>
      <c r="G23" s="7" t="s">
        <v>2067</v>
      </c>
      <c r="H23" s="2" t="s">
        <v>2815</v>
      </c>
      <c r="I23" s="2" t="s">
        <v>2068</v>
      </c>
      <c r="J23" s="2" t="s">
        <v>2361</v>
      </c>
      <c r="K23" s="2" t="s">
        <v>2508</v>
      </c>
      <c r="L23" s="8" t="str">
        <f>HYPERLINK("http://slimages.macys.com/is/image/MCY/3256343 ")</f>
        <v xml:space="preserve">http://slimages.macys.com/is/image/MCY/3256343 </v>
      </c>
    </row>
    <row r="24" spans="1:12" ht="30" customHeight="1" x14ac:dyDescent="0.25">
      <c r="A24" s="5" t="s">
        <v>2069</v>
      </c>
      <c r="B24" s="2" t="s">
        <v>2070</v>
      </c>
      <c r="C24" s="3">
        <v>1</v>
      </c>
      <c r="D24" s="6">
        <v>82.99</v>
      </c>
      <c r="E24" s="3" t="s">
        <v>2071</v>
      </c>
      <c r="F24" s="2" t="s">
        <v>2517</v>
      </c>
      <c r="G24" s="7"/>
      <c r="H24" s="2" t="s">
        <v>2359</v>
      </c>
      <c r="I24" s="2" t="s">
        <v>2406</v>
      </c>
      <c r="J24" s="2" t="s">
        <v>2361</v>
      </c>
      <c r="K24" s="2" t="s">
        <v>1263</v>
      </c>
      <c r="L24" s="8" t="str">
        <f>HYPERLINK("http://slimages.macys.com/is/image/MCY/9762846 ")</f>
        <v xml:space="preserve">http://slimages.macys.com/is/image/MCY/9762846 </v>
      </c>
    </row>
    <row r="25" spans="1:12" ht="30" customHeight="1" x14ac:dyDescent="0.25">
      <c r="A25" s="5" t="s">
        <v>2072</v>
      </c>
      <c r="B25" s="2" t="s">
        <v>2073</v>
      </c>
      <c r="C25" s="3">
        <v>1</v>
      </c>
      <c r="D25" s="6">
        <v>62.99</v>
      </c>
      <c r="E25" s="3" t="s">
        <v>2074</v>
      </c>
      <c r="F25" s="2" t="s">
        <v>2440</v>
      </c>
      <c r="G25" s="7"/>
      <c r="H25" s="2" t="s">
        <v>2359</v>
      </c>
      <c r="I25" s="2" t="s">
        <v>2784</v>
      </c>
      <c r="J25" s="2" t="s">
        <v>2361</v>
      </c>
      <c r="K25" s="2" t="s">
        <v>2377</v>
      </c>
      <c r="L25" s="8" t="str">
        <f>HYPERLINK("http://slimages.macys.com/is/image/MCY/15607024 ")</f>
        <v xml:space="preserve">http://slimages.macys.com/is/image/MCY/15607024 </v>
      </c>
    </row>
    <row r="26" spans="1:12" ht="30" customHeight="1" x14ac:dyDescent="0.25">
      <c r="A26" s="5" t="s">
        <v>2075</v>
      </c>
      <c r="B26" s="2" t="s">
        <v>2076</v>
      </c>
      <c r="C26" s="3">
        <v>1</v>
      </c>
      <c r="D26" s="6">
        <v>69.989999999999995</v>
      </c>
      <c r="E26" s="3" t="s">
        <v>2077</v>
      </c>
      <c r="F26" s="2" t="s">
        <v>2374</v>
      </c>
      <c r="G26" s="7"/>
      <c r="H26" s="2" t="s">
        <v>2388</v>
      </c>
      <c r="I26" s="2" t="s">
        <v>1502</v>
      </c>
      <c r="J26" s="2" t="s">
        <v>2361</v>
      </c>
      <c r="K26" s="2"/>
      <c r="L26" s="8" t="str">
        <f>HYPERLINK("http://slimages.macys.com/is/image/MCY/9312666 ")</f>
        <v xml:space="preserve">http://slimages.macys.com/is/image/MCY/9312666 </v>
      </c>
    </row>
    <row r="27" spans="1:12" ht="30" customHeight="1" x14ac:dyDescent="0.25">
      <c r="A27" s="5" t="s">
        <v>1375</v>
      </c>
      <c r="B27" s="2" t="s">
        <v>1376</v>
      </c>
      <c r="C27" s="3">
        <v>2</v>
      </c>
      <c r="D27" s="6">
        <v>57.99</v>
      </c>
      <c r="E27" s="3" t="s">
        <v>1377</v>
      </c>
      <c r="F27" s="2" t="s">
        <v>2374</v>
      </c>
      <c r="G27" s="7" t="s">
        <v>2666</v>
      </c>
      <c r="H27" s="2" t="s">
        <v>2412</v>
      </c>
      <c r="I27" s="2" t="s">
        <v>2788</v>
      </c>
      <c r="J27" s="2" t="s">
        <v>2789</v>
      </c>
      <c r="K27" s="2" t="s">
        <v>1378</v>
      </c>
      <c r="L27" s="8" t="str">
        <f>HYPERLINK("http://slimages.macys.com/is/image/MCY/11798302 ")</f>
        <v xml:space="preserve">http://slimages.macys.com/is/image/MCY/11798302 </v>
      </c>
    </row>
    <row r="28" spans="1:12" ht="30" customHeight="1" x14ac:dyDescent="0.25">
      <c r="A28" s="5" t="s">
        <v>2078</v>
      </c>
      <c r="B28" s="2" t="s">
        <v>2079</v>
      </c>
      <c r="C28" s="3">
        <v>1</v>
      </c>
      <c r="D28" s="6">
        <v>40.99</v>
      </c>
      <c r="E28" s="3">
        <v>19353332</v>
      </c>
      <c r="F28" s="2" t="s">
        <v>2381</v>
      </c>
      <c r="G28" s="7"/>
      <c r="H28" s="2" t="s">
        <v>2537</v>
      </c>
      <c r="I28" s="2" t="s">
        <v>2447</v>
      </c>
      <c r="J28" s="2" t="s">
        <v>2361</v>
      </c>
      <c r="K28" s="2"/>
      <c r="L28" s="8" t="str">
        <f>HYPERLINK("http://slimages.macys.com/is/image/MCY/10010890 ")</f>
        <v xml:space="preserve">http://slimages.macys.com/is/image/MCY/10010890 </v>
      </c>
    </row>
    <row r="29" spans="1:12" ht="30" customHeight="1" x14ac:dyDescent="0.25">
      <c r="A29" s="5" t="s">
        <v>2080</v>
      </c>
      <c r="B29" s="2" t="s">
        <v>2081</v>
      </c>
      <c r="C29" s="3">
        <v>1</v>
      </c>
      <c r="D29" s="6">
        <v>39.99</v>
      </c>
      <c r="E29" s="3">
        <v>19459338</v>
      </c>
      <c r="F29" s="2" t="s">
        <v>2394</v>
      </c>
      <c r="G29" s="7"/>
      <c r="H29" s="2" t="s">
        <v>2537</v>
      </c>
      <c r="I29" s="2" t="s">
        <v>2447</v>
      </c>
      <c r="J29" s="2" t="s">
        <v>2361</v>
      </c>
      <c r="K29" s="2" t="s">
        <v>2441</v>
      </c>
      <c r="L29" s="8" t="str">
        <f>HYPERLINK("http://slimages.macys.com/is/image/MCY/10307233 ")</f>
        <v xml:space="preserve">http://slimages.macys.com/is/image/MCY/10307233 </v>
      </c>
    </row>
    <row r="30" spans="1:12" ht="30" customHeight="1" x14ac:dyDescent="0.25">
      <c r="A30" s="5" t="s">
        <v>2082</v>
      </c>
      <c r="B30" s="2" t="s">
        <v>2083</v>
      </c>
      <c r="C30" s="3">
        <v>2</v>
      </c>
      <c r="D30" s="6">
        <v>39.99</v>
      </c>
      <c r="E30" s="3">
        <v>19460338</v>
      </c>
      <c r="F30" s="2" t="s">
        <v>3157</v>
      </c>
      <c r="G30" s="7"/>
      <c r="H30" s="2" t="s">
        <v>2537</v>
      </c>
      <c r="I30" s="2" t="s">
        <v>2447</v>
      </c>
      <c r="J30" s="2" t="s">
        <v>2361</v>
      </c>
      <c r="K30" s="2" t="s">
        <v>2441</v>
      </c>
      <c r="L30" s="8" t="str">
        <f>HYPERLINK("http://slimages.macys.com/is/image/MCY/10307233 ")</f>
        <v xml:space="preserve">http://slimages.macys.com/is/image/MCY/10307233 </v>
      </c>
    </row>
    <row r="31" spans="1:12" ht="30" customHeight="1" x14ac:dyDescent="0.25">
      <c r="A31" s="5" t="s">
        <v>2084</v>
      </c>
      <c r="B31" s="2" t="s">
        <v>2085</v>
      </c>
      <c r="C31" s="3">
        <v>1</v>
      </c>
      <c r="D31" s="6">
        <v>49.99</v>
      </c>
      <c r="E31" s="3" t="s">
        <v>2086</v>
      </c>
      <c r="F31" s="2" t="s">
        <v>2381</v>
      </c>
      <c r="G31" s="7"/>
      <c r="H31" s="2" t="s">
        <v>2675</v>
      </c>
      <c r="I31" s="2" t="s">
        <v>2087</v>
      </c>
      <c r="J31" s="2" t="s">
        <v>2361</v>
      </c>
      <c r="K31" s="2"/>
      <c r="L31" s="8" t="str">
        <f>HYPERLINK("http://slimages.macys.com/is/image/MCY/12462769 ")</f>
        <v xml:space="preserve">http://slimages.macys.com/is/image/MCY/12462769 </v>
      </c>
    </row>
    <row r="32" spans="1:12" ht="30" customHeight="1" x14ac:dyDescent="0.25">
      <c r="A32" s="5" t="s">
        <v>2088</v>
      </c>
      <c r="B32" s="2" t="s">
        <v>2089</v>
      </c>
      <c r="C32" s="3">
        <v>1</v>
      </c>
      <c r="D32" s="6">
        <v>62.99</v>
      </c>
      <c r="E32" s="3" t="s">
        <v>2090</v>
      </c>
      <c r="F32" s="2" t="s">
        <v>2622</v>
      </c>
      <c r="G32" s="7"/>
      <c r="H32" s="2" t="s">
        <v>2359</v>
      </c>
      <c r="I32" s="2" t="s">
        <v>2803</v>
      </c>
      <c r="J32" s="2" t="s">
        <v>2361</v>
      </c>
      <c r="K32" s="2" t="s">
        <v>2091</v>
      </c>
      <c r="L32" s="8" t="str">
        <f>HYPERLINK("http://slimages.macys.com/is/image/MCY/10005647 ")</f>
        <v xml:space="preserve">http://slimages.macys.com/is/image/MCY/10005647 </v>
      </c>
    </row>
    <row r="33" spans="1:12" ht="30" customHeight="1" x14ac:dyDescent="0.25">
      <c r="A33" s="5" t="s">
        <v>2092</v>
      </c>
      <c r="B33" s="2" t="s">
        <v>2093</v>
      </c>
      <c r="C33" s="3">
        <v>1</v>
      </c>
      <c r="D33" s="6">
        <v>65.989999999999995</v>
      </c>
      <c r="E33" s="3" t="s">
        <v>2094</v>
      </c>
      <c r="F33" s="2" t="s">
        <v>2681</v>
      </c>
      <c r="G33" s="7" t="s">
        <v>2666</v>
      </c>
      <c r="H33" s="2" t="s">
        <v>2359</v>
      </c>
      <c r="I33" s="2" t="s">
        <v>1488</v>
      </c>
      <c r="J33" s="2" t="s">
        <v>2361</v>
      </c>
      <c r="K33" s="2" t="s">
        <v>2508</v>
      </c>
      <c r="L33" s="8" t="str">
        <f>HYPERLINK("http://slimages.macys.com/is/image/MCY/13046181 ")</f>
        <v xml:space="preserve">http://slimages.macys.com/is/image/MCY/13046181 </v>
      </c>
    </row>
    <row r="34" spans="1:12" ht="30" customHeight="1" x14ac:dyDescent="0.25">
      <c r="A34" s="5" t="s">
        <v>2095</v>
      </c>
      <c r="B34" s="2" t="s">
        <v>2096</v>
      </c>
      <c r="C34" s="3">
        <v>1</v>
      </c>
      <c r="D34" s="6">
        <v>40.99</v>
      </c>
      <c r="E34" s="3" t="s">
        <v>2097</v>
      </c>
      <c r="F34" s="2" t="s">
        <v>2381</v>
      </c>
      <c r="G34" s="7"/>
      <c r="H34" s="2" t="s">
        <v>2419</v>
      </c>
      <c r="I34" s="2" t="s">
        <v>2406</v>
      </c>
      <c r="J34" s="2" t="s">
        <v>2361</v>
      </c>
      <c r="K34" s="2" t="s">
        <v>2098</v>
      </c>
      <c r="L34" s="8" t="str">
        <f>HYPERLINK("http://slimages.macys.com/is/image/MCY/8264012 ")</f>
        <v xml:space="preserve">http://slimages.macys.com/is/image/MCY/8264012 </v>
      </c>
    </row>
    <row r="35" spans="1:12" ht="30" customHeight="1" x14ac:dyDescent="0.25">
      <c r="A35" s="5" t="s">
        <v>2099</v>
      </c>
      <c r="B35" s="2" t="s">
        <v>2100</v>
      </c>
      <c r="C35" s="3">
        <v>2</v>
      </c>
      <c r="D35" s="6">
        <v>31.99</v>
      </c>
      <c r="E35" s="3" t="s">
        <v>2101</v>
      </c>
      <c r="F35" s="2" t="s">
        <v>3547</v>
      </c>
      <c r="G35" s="7"/>
      <c r="H35" s="2" t="s">
        <v>2419</v>
      </c>
      <c r="I35" s="2" t="s">
        <v>2406</v>
      </c>
      <c r="J35" s="2" t="s">
        <v>2361</v>
      </c>
      <c r="K35" s="2"/>
      <c r="L35" s="8" t="str">
        <f>HYPERLINK("http://slimages.macys.com/is/image/MCY/9911829 ")</f>
        <v xml:space="preserve">http://slimages.macys.com/is/image/MCY/9911829 </v>
      </c>
    </row>
    <row r="36" spans="1:12" ht="30" customHeight="1" x14ac:dyDescent="0.25">
      <c r="A36" s="5" t="s">
        <v>2102</v>
      </c>
      <c r="B36" s="2" t="s">
        <v>2103</v>
      </c>
      <c r="C36" s="3">
        <v>5</v>
      </c>
      <c r="D36" s="6">
        <v>36.99</v>
      </c>
      <c r="E36" s="3" t="s">
        <v>2104</v>
      </c>
      <c r="F36" s="2" t="s">
        <v>2381</v>
      </c>
      <c r="G36" s="7"/>
      <c r="H36" s="2" t="s">
        <v>2419</v>
      </c>
      <c r="I36" s="2" t="s">
        <v>2406</v>
      </c>
      <c r="J36" s="2" t="s">
        <v>2361</v>
      </c>
      <c r="K36" s="2" t="s">
        <v>2105</v>
      </c>
      <c r="L36" s="8" t="str">
        <f>HYPERLINK("http://slimages.macys.com/is/image/MCY/9961972 ")</f>
        <v xml:space="preserve">http://slimages.macys.com/is/image/MCY/9961972 </v>
      </c>
    </row>
    <row r="37" spans="1:12" ht="30" customHeight="1" x14ac:dyDescent="0.25">
      <c r="A37" s="5" t="s">
        <v>3196</v>
      </c>
      <c r="B37" s="2" t="s">
        <v>3197</v>
      </c>
      <c r="C37" s="3">
        <v>1</v>
      </c>
      <c r="D37" s="6">
        <v>38.99</v>
      </c>
      <c r="E37" s="3" t="s">
        <v>3198</v>
      </c>
      <c r="F37" s="2" t="s">
        <v>2440</v>
      </c>
      <c r="G37" s="7"/>
      <c r="H37" s="2" t="s">
        <v>2419</v>
      </c>
      <c r="I37" s="2" t="s">
        <v>2406</v>
      </c>
      <c r="J37" s="2" t="s">
        <v>2361</v>
      </c>
      <c r="K37" s="2" t="s">
        <v>2377</v>
      </c>
      <c r="L37" s="8" t="str">
        <f>HYPERLINK("http://slimages.macys.com/is/image/MCY/8216566 ")</f>
        <v xml:space="preserve">http://slimages.macys.com/is/image/MCY/8216566 </v>
      </c>
    </row>
    <row r="38" spans="1:12" ht="30" customHeight="1" x14ac:dyDescent="0.25">
      <c r="A38" s="5" t="s">
        <v>2106</v>
      </c>
      <c r="B38" s="2" t="s">
        <v>2107</v>
      </c>
      <c r="C38" s="3">
        <v>1</v>
      </c>
      <c r="D38" s="6">
        <v>39.99</v>
      </c>
      <c r="E38" s="3" t="s">
        <v>2108</v>
      </c>
      <c r="F38" s="2" t="s">
        <v>2552</v>
      </c>
      <c r="G38" s="7" t="s">
        <v>2627</v>
      </c>
      <c r="H38" s="2" t="s">
        <v>2419</v>
      </c>
      <c r="I38" s="2" t="s">
        <v>2406</v>
      </c>
      <c r="J38" s="2" t="s">
        <v>2361</v>
      </c>
      <c r="K38" s="2"/>
      <c r="L38" s="8" t="str">
        <f>HYPERLINK("http://slimages.macys.com/is/image/MCY/9025161 ")</f>
        <v xml:space="preserve">http://slimages.macys.com/is/image/MCY/9025161 </v>
      </c>
    </row>
    <row r="39" spans="1:12" ht="30" customHeight="1" x14ac:dyDescent="0.25">
      <c r="A39" s="5" t="s">
        <v>2109</v>
      </c>
      <c r="B39" s="2" t="s">
        <v>2110</v>
      </c>
      <c r="C39" s="3">
        <v>1</v>
      </c>
      <c r="D39" s="6">
        <v>36.99</v>
      </c>
      <c r="E39" s="3" t="s">
        <v>2111</v>
      </c>
      <c r="F39" s="2" t="s">
        <v>2440</v>
      </c>
      <c r="G39" s="7"/>
      <c r="H39" s="2" t="s">
        <v>2419</v>
      </c>
      <c r="I39" s="2" t="s">
        <v>2406</v>
      </c>
      <c r="J39" s="2" t="s">
        <v>2361</v>
      </c>
      <c r="K39" s="2" t="s">
        <v>2831</v>
      </c>
      <c r="L39" s="8" t="str">
        <f>HYPERLINK("http://slimages.macys.com/is/image/MCY/9929848 ")</f>
        <v xml:space="preserve">http://slimages.macys.com/is/image/MCY/9929848 </v>
      </c>
    </row>
    <row r="40" spans="1:12" ht="30" customHeight="1" x14ac:dyDescent="0.25">
      <c r="A40" s="5" t="s">
        <v>2112</v>
      </c>
      <c r="B40" s="2" t="s">
        <v>2113</v>
      </c>
      <c r="C40" s="3">
        <v>1</v>
      </c>
      <c r="D40" s="6">
        <v>42.99</v>
      </c>
      <c r="E40" s="3" t="s">
        <v>2114</v>
      </c>
      <c r="F40" s="2" t="s">
        <v>2440</v>
      </c>
      <c r="G40" s="7"/>
      <c r="H40" s="2" t="s">
        <v>2359</v>
      </c>
      <c r="I40" s="2" t="s">
        <v>2406</v>
      </c>
      <c r="J40" s="2" t="s">
        <v>2361</v>
      </c>
      <c r="K40" s="2" t="s">
        <v>2377</v>
      </c>
      <c r="L40" s="8" t="str">
        <f>HYPERLINK("http://slimages.macys.com/is/image/MCY/9767705 ")</f>
        <v xml:space="preserve">http://slimages.macys.com/is/image/MCY/9767705 </v>
      </c>
    </row>
    <row r="41" spans="1:12" ht="30" customHeight="1" x14ac:dyDescent="0.25">
      <c r="A41" s="5" t="s">
        <v>2115</v>
      </c>
      <c r="B41" s="2" t="s">
        <v>2116</v>
      </c>
      <c r="C41" s="3">
        <v>2</v>
      </c>
      <c r="D41" s="6">
        <v>39.99</v>
      </c>
      <c r="E41" s="3" t="s">
        <v>2117</v>
      </c>
      <c r="F41" s="2" t="s">
        <v>2374</v>
      </c>
      <c r="G41" s="7" t="s">
        <v>2382</v>
      </c>
      <c r="H41" s="2" t="s">
        <v>2412</v>
      </c>
      <c r="I41" s="2" t="s">
        <v>2118</v>
      </c>
      <c r="J41" s="2" t="s">
        <v>2119</v>
      </c>
      <c r="K41" s="2" t="s">
        <v>2120</v>
      </c>
      <c r="L41" s="8" t="str">
        <f>HYPERLINK("http://slimages.macys.com/is/image/MCY/15792898 ")</f>
        <v xml:space="preserve">http://slimages.macys.com/is/image/MCY/15792898 </v>
      </c>
    </row>
    <row r="42" spans="1:12" ht="30" customHeight="1" x14ac:dyDescent="0.25">
      <c r="A42" s="5" t="s">
        <v>2121</v>
      </c>
      <c r="B42" s="2" t="s">
        <v>2122</v>
      </c>
      <c r="C42" s="3">
        <v>1</v>
      </c>
      <c r="D42" s="6">
        <v>29.99</v>
      </c>
      <c r="E42" s="3" t="s">
        <v>2123</v>
      </c>
      <c r="F42" s="2" t="s">
        <v>2381</v>
      </c>
      <c r="G42" s="7" t="s">
        <v>2489</v>
      </c>
      <c r="H42" s="2" t="s">
        <v>2419</v>
      </c>
      <c r="I42" s="2" t="s">
        <v>2406</v>
      </c>
      <c r="J42" s="2" t="s">
        <v>2361</v>
      </c>
      <c r="K42" s="2" t="s">
        <v>2377</v>
      </c>
      <c r="L42" s="8" t="str">
        <f>HYPERLINK("http://slimages.macys.com/is/image/MCY/9615480 ")</f>
        <v xml:space="preserve">http://slimages.macys.com/is/image/MCY/9615480 </v>
      </c>
    </row>
    <row r="43" spans="1:12" ht="30" customHeight="1" x14ac:dyDescent="0.25">
      <c r="A43" s="5" t="s">
        <v>2124</v>
      </c>
      <c r="B43" s="2" t="s">
        <v>2125</v>
      </c>
      <c r="C43" s="3">
        <v>1</v>
      </c>
      <c r="D43" s="6">
        <v>29.99</v>
      </c>
      <c r="E43" s="3" t="s">
        <v>2126</v>
      </c>
      <c r="F43" s="2" t="s">
        <v>3024</v>
      </c>
      <c r="G43" s="7" t="s">
        <v>2627</v>
      </c>
      <c r="H43" s="2" t="s">
        <v>2419</v>
      </c>
      <c r="I43" s="2" t="s">
        <v>2406</v>
      </c>
      <c r="J43" s="2" t="s">
        <v>2361</v>
      </c>
      <c r="K43" s="2" t="s">
        <v>2127</v>
      </c>
      <c r="L43" s="8" t="str">
        <f>HYPERLINK("http://slimages.macys.com/is/image/MCY/9602958 ")</f>
        <v xml:space="preserve">http://slimages.macys.com/is/image/MCY/9602958 </v>
      </c>
    </row>
    <row r="44" spans="1:12" ht="30" customHeight="1" x14ac:dyDescent="0.25">
      <c r="A44" s="5" t="s">
        <v>2128</v>
      </c>
      <c r="B44" s="2" t="s">
        <v>2129</v>
      </c>
      <c r="C44" s="3">
        <v>1</v>
      </c>
      <c r="D44" s="6">
        <v>37.99</v>
      </c>
      <c r="E44" s="3" t="s">
        <v>2130</v>
      </c>
      <c r="F44" s="2" t="s">
        <v>2381</v>
      </c>
      <c r="G44" s="7"/>
      <c r="H44" s="2" t="s">
        <v>2359</v>
      </c>
      <c r="I44" s="2" t="s">
        <v>2406</v>
      </c>
      <c r="J44" s="2" t="s">
        <v>2361</v>
      </c>
      <c r="K44" s="2" t="s">
        <v>1430</v>
      </c>
      <c r="L44" s="8" t="str">
        <f>HYPERLINK("http://slimages.macys.com/is/image/MCY/9767690 ")</f>
        <v xml:space="preserve">http://slimages.macys.com/is/image/MCY/9767690 </v>
      </c>
    </row>
    <row r="45" spans="1:12" ht="30" customHeight="1" x14ac:dyDescent="0.25">
      <c r="A45" s="5" t="s">
        <v>2131</v>
      </c>
      <c r="B45" s="2" t="s">
        <v>2132</v>
      </c>
      <c r="C45" s="3">
        <v>1</v>
      </c>
      <c r="D45" s="6">
        <v>27.99</v>
      </c>
      <c r="E45" s="3" t="s">
        <v>2133</v>
      </c>
      <c r="F45" s="2" t="s">
        <v>2381</v>
      </c>
      <c r="G45" s="7"/>
      <c r="H45" s="2" t="s">
        <v>2419</v>
      </c>
      <c r="I45" s="2" t="s">
        <v>2406</v>
      </c>
      <c r="J45" s="2" t="s">
        <v>2361</v>
      </c>
      <c r="K45" s="2" t="s">
        <v>2134</v>
      </c>
      <c r="L45" s="8" t="str">
        <f>HYPERLINK("http://slimages.macys.com/is/image/MCY/9614138 ")</f>
        <v xml:space="preserve">http://slimages.macys.com/is/image/MCY/9614138 </v>
      </c>
    </row>
    <row r="46" spans="1:12" ht="30" customHeight="1" x14ac:dyDescent="0.25">
      <c r="A46" s="5" t="s">
        <v>2135</v>
      </c>
      <c r="B46" s="2" t="s">
        <v>2136</v>
      </c>
      <c r="C46" s="3">
        <v>2</v>
      </c>
      <c r="D46" s="6">
        <v>26.99</v>
      </c>
      <c r="E46" s="3" t="s">
        <v>2137</v>
      </c>
      <c r="F46" s="2" t="s">
        <v>2418</v>
      </c>
      <c r="G46" s="7" t="s">
        <v>2138</v>
      </c>
      <c r="H46" s="2" t="s">
        <v>2419</v>
      </c>
      <c r="I46" s="2" t="s">
        <v>2139</v>
      </c>
      <c r="J46" s="2" t="s">
        <v>2361</v>
      </c>
      <c r="K46" s="2" t="s">
        <v>2140</v>
      </c>
      <c r="L46" s="8" t="str">
        <f>HYPERLINK("http://slimages.macys.com/is/image/MCY/1466811 ")</f>
        <v xml:space="preserve">http://slimages.macys.com/is/image/MCY/1466811 </v>
      </c>
    </row>
    <row r="47" spans="1:12" ht="30" customHeight="1" x14ac:dyDescent="0.25">
      <c r="A47" s="5" t="s">
        <v>2141</v>
      </c>
      <c r="B47" s="2" t="s">
        <v>2142</v>
      </c>
      <c r="C47" s="3">
        <v>5</v>
      </c>
      <c r="D47" s="6">
        <v>28.99</v>
      </c>
      <c r="E47" s="3" t="s">
        <v>2143</v>
      </c>
      <c r="F47" s="2" t="s">
        <v>2622</v>
      </c>
      <c r="G47" s="7"/>
      <c r="H47" s="2" t="s">
        <v>2419</v>
      </c>
      <c r="I47" s="2" t="s">
        <v>2406</v>
      </c>
      <c r="J47" s="2" t="s">
        <v>2361</v>
      </c>
      <c r="K47" s="2" t="s">
        <v>3060</v>
      </c>
      <c r="L47" s="8" t="str">
        <f>HYPERLINK("http://slimages.macys.com/is/image/MCY/9310298 ")</f>
        <v xml:space="preserve">http://slimages.macys.com/is/image/MCY/9310298 </v>
      </c>
    </row>
    <row r="48" spans="1:12" ht="30" customHeight="1" x14ac:dyDescent="0.25">
      <c r="A48" s="5" t="s">
        <v>2144</v>
      </c>
      <c r="B48" s="2" t="s">
        <v>2145</v>
      </c>
      <c r="C48" s="3">
        <v>1</v>
      </c>
      <c r="D48" s="6">
        <v>34.99</v>
      </c>
      <c r="E48" s="3" t="s">
        <v>2146</v>
      </c>
      <c r="F48" s="2" t="s">
        <v>2394</v>
      </c>
      <c r="G48" s="7" t="s">
        <v>1942</v>
      </c>
      <c r="H48" s="2" t="s">
        <v>2675</v>
      </c>
      <c r="I48" s="2" t="s">
        <v>2676</v>
      </c>
      <c r="J48" s="2" t="s">
        <v>2361</v>
      </c>
      <c r="K48" s="2"/>
      <c r="L48" s="8" t="str">
        <f>HYPERLINK("http://slimages.macys.com/is/image/MCY/8456177 ")</f>
        <v xml:space="preserve">http://slimages.macys.com/is/image/MCY/8456177 </v>
      </c>
    </row>
    <row r="49" spans="1:12" ht="30" customHeight="1" x14ac:dyDescent="0.25">
      <c r="A49" s="5" t="s">
        <v>2870</v>
      </c>
      <c r="B49" s="2" t="s">
        <v>2871</v>
      </c>
      <c r="C49" s="3">
        <v>3</v>
      </c>
      <c r="D49" s="6">
        <v>24.99</v>
      </c>
      <c r="E49" s="3" t="s">
        <v>2872</v>
      </c>
      <c r="F49" s="2" t="s">
        <v>2381</v>
      </c>
      <c r="G49" s="7"/>
      <c r="H49" s="2" t="s">
        <v>2419</v>
      </c>
      <c r="I49" s="2" t="s">
        <v>2406</v>
      </c>
      <c r="J49" s="2" t="s">
        <v>2361</v>
      </c>
      <c r="K49" s="2"/>
      <c r="L49" s="8" t="str">
        <f>HYPERLINK("http://slimages.macys.com/is/image/MCY/10010840 ")</f>
        <v xml:space="preserve">http://slimages.macys.com/is/image/MCY/10010840 </v>
      </c>
    </row>
    <row r="50" spans="1:12" ht="30" customHeight="1" x14ac:dyDescent="0.25">
      <c r="A50" s="5" t="s">
        <v>2147</v>
      </c>
      <c r="B50" s="2" t="s">
        <v>2148</v>
      </c>
      <c r="C50" s="3">
        <v>1</v>
      </c>
      <c r="D50" s="6">
        <v>31.99</v>
      </c>
      <c r="E50" s="3" t="s">
        <v>2149</v>
      </c>
      <c r="F50" s="2" t="s">
        <v>2381</v>
      </c>
      <c r="G50" s="7"/>
      <c r="H50" s="2" t="s">
        <v>2359</v>
      </c>
      <c r="I50" s="2" t="s">
        <v>2406</v>
      </c>
      <c r="J50" s="2" t="s">
        <v>2361</v>
      </c>
      <c r="K50" s="2" t="s">
        <v>1430</v>
      </c>
      <c r="L50" s="8" t="str">
        <f>HYPERLINK("http://slimages.macys.com/is/image/MCY/9767691 ")</f>
        <v xml:space="preserve">http://slimages.macys.com/is/image/MCY/9767691 </v>
      </c>
    </row>
    <row r="51" spans="1:12" ht="30" customHeight="1" x14ac:dyDescent="0.25">
      <c r="A51" s="5" t="s">
        <v>2882</v>
      </c>
      <c r="B51" s="2" t="s">
        <v>2883</v>
      </c>
      <c r="C51" s="3">
        <v>1</v>
      </c>
      <c r="D51" s="6">
        <v>29.99</v>
      </c>
      <c r="E51" s="3" t="s">
        <v>2884</v>
      </c>
      <c r="F51" s="2"/>
      <c r="G51" s="7"/>
      <c r="H51" s="2" t="s">
        <v>2359</v>
      </c>
      <c r="I51" s="2" t="s">
        <v>2803</v>
      </c>
      <c r="J51" s="2" t="s">
        <v>2361</v>
      </c>
      <c r="K51" s="2" t="s">
        <v>2377</v>
      </c>
      <c r="L51" s="8" t="str">
        <f>HYPERLINK("http://slimages.macys.com/is/image/MCY/16344436 ")</f>
        <v xml:space="preserve">http://slimages.macys.com/is/image/MCY/16344436 </v>
      </c>
    </row>
    <row r="52" spans="1:12" ht="30" customHeight="1" x14ac:dyDescent="0.25">
      <c r="A52" s="5" t="s">
        <v>2150</v>
      </c>
      <c r="B52" s="2" t="s">
        <v>2151</v>
      </c>
      <c r="C52" s="3">
        <v>1</v>
      </c>
      <c r="D52" s="6">
        <v>19.989999999999998</v>
      </c>
      <c r="E52" s="3" t="s">
        <v>2152</v>
      </c>
      <c r="F52" s="2" t="s">
        <v>2394</v>
      </c>
      <c r="G52" s="7" t="s">
        <v>2531</v>
      </c>
      <c r="H52" s="2" t="s">
        <v>2459</v>
      </c>
      <c r="I52" s="2" t="s">
        <v>2547</v>
      </c>
      <c r="J52" s="2" t="s">
        <v>2361</v>
      </c>
      <c r="K52" s="2" t="s">
        <v>2397</v>
      </c>
      <c r="L52" s="8" t="str">
        <f>HYPERLINK("http://slimages.macys.com/is/image/MCY/1426090 ")</f>
        <v xml:space="preserve">http://slimages.macys.com/is/image/MCY/1426090 </v>
      </c>
    </row>
    <row r="53" spans="1:12" ht="30" customHeight="1" x14ac:dyDescent="0.25">
      <c r="A53" s="5" t="s">
        <v>2153</v>
      </c>
      <c r="B53" s="2" t="s">
        <v>2154</v>
      </c>
      <c r="C53" s="3">
        <v>2</v>
      </c>
      <c r="D53" s="6">
        <v>19.989999999999998</v>
      </c>
      <c r="E53" s="3" t="s">
        <v>2155</v>
      </c>
      <c r="F53" s="2" t="s">
        <v>2517</v>
      </c>
      <c r="G53" s="7"/>
      <c r="H53" s="2" t="s">
        <v>2419</v>
      </c>
      <c r="I53" s="2" t="s">
        <v>2406</v>
      </c>
      <c r="J53" s="2" t="s">
        <v>2361</v>
      </c>
      <c r="K53" s="2"/>
      <c r="L53" s="8" t="str">
        <f>HYPERLINK("http://slimages.macys.com/is/image/MCY/9927294 ")</f>
        <v xml:space="preserve">http://slimages.macys.com/is/image/MCY/9927294 </v>
      </c>
    </row>
    <row r="54" spans="1:12" ht="30" customHeight="1" x14ac:dyDescent="0.25">
      <c r="A54" s="5" t="s">
        <v>2156</v>
      </c>
      <c r="B54" s="2" t="s">
        <v>2157</v>
      </c>
      <c r="C54" s="3">
        <v>2</v>
      </c>
      <c r="D54" s="6">
        <v>19.989999999999998</v>
      </c>
      <c r="E54" s="3" t="s">
        <v>2158</v>
      </c>
      <c r="F54" s="2" t="s">
        <v>2394</v>
      </c>
      <c r="G54" s="7"/>
      <c r="H54" s="2" t="s">
        <v>2419</v>
      </c>
      <c r="I54" s="2" t="s">
        <v>2406</v>
      </c>
      <c r="J54" s="2" t="s">
        <v>2361</v>
      </c>
      <c r="K54" s="2"/>
      <c r="L54" s="8" t="str">
        <f>HYPERLINK("http://slimages.macys.com/is/image/MCY/9927294 ")</f>
        <v xml:space="preserve">http://slimages.macys.com/is/image/MCY/9927294 </v>
      </c>
    </row>
    <row r="55" spans="1:12" ht="30" customHeight="1" x14ac:dyDescent="0.25">
      <c r="A55" s="5" t="s">
        <v>2707</v>
      </c>
      <c r="B55" s="2" t="s">
        <v>2525</v>
      </c>
      <c r="C55" s="3">
        <v>1</v>
      </c>
      <c r="D55" s="6">
        <v>34.99</v>
      </c>
      <c r="E55" s="3" t="s">
        <v>2526</v>
      </c>
      <c r="F55" s="2" t="s">
        <v>2401</v>
      </c>
      <c r="G55" s="7"/>
      <c r="H55" s="2" t="s">
        <v>2395</v>
      </c>
      <c r="I55" s="2" t="s">
        <v>2527</v>
      </c>
      <c r="J55" s="2" t="s">
        <v>2361</v>
      </c>
      <c r="K55" s="2" t="s">
        <v>2377</v>
      </c>
      <c r="L55" s="8" t="str">
        <f>HYPERLINK("http://slimages.macys.com/is/image/MCY/14601403 ")</f>
        <v xml:space="preserve">http://slimages.macys.com/is/image/MCY/14601403 </v>
      </c>
    </row>
    <row r="56" spans="1:12" ht="30" customHeight="1" x14ac:dyDescent="0.25">
      <c r="A56" s="5" t="s">
        <v>2159</v>
      </c>
      <c r="B56" s="2" t="s">
        <v>2160</v>
      </c>
      <c r="C56" s="3">
        <v>1</v>
      </c>
      <c r="D56" s="6">
        <v>19.989999999999998</v>
      </c>
      <c r="E56" s="3" t="s">
        <v>2161</v>
      </c>
      <c r="F56" s="2" t="s">
        <v>3194</v>
      </c>
      <c r="G56" s="7"/>
      <c r="H56" s="2" t="s">
        <v>3433</v>
      </c>
      <c r="I56" s="2" t="s">
        <v>2162</v>
      </c>
      <c r="J56" s="2" t="s">
        <v>2432</v>
      </c>
      <c r="K56" s="2" t="s">
        <v>2377</v>
      </c>
      <c r="L56" s="8" t="str">
        <f>HYPERLINK("http://slimages.macys.com/is/image/MCY/9844268 ")</f>
        <v xml:space="preserve">http://slimages.macys.com/is/image/MCY/9844268 </v>
      </c>
    </row>
    <row r="57" spans="1:12" ht="30" customHeight="1" x14ac:dyDescent="0.25">
      <c r="A57" s="5" t="s">
        <v>2163</v>
      </c>
      <c r="B57" s="2" t="s">
        <v>2164</v>
      </c>
      <c r="C57" s="3">
        <v>2</v>
      </c>
      <c r="D57" s="6">
        <v>14.99</v>
      </c>
      <c r="E57" s="3" t="s">
        <v>2165</v>
      </c>
      <c r="F57" s="2" t="s">
        <v>2394</v>
      </c>
      <c r="G57" s="7" t="s">
        <v>2546</v>
      </c>
      <c r="H57" s="2" t="s">
        <v>2459</v>
      </c>
      <c r="I57" s="2" t="s">
        <v>2547</v>
      </c>
      <c r="J57" s="2" t="s">
        <v>2361</v>
      </c>
      <c r="K57" s="2" t="s">
        <v>2397</v>
      </c>
      <c r="L57" s="8" t="str">
        <f>HYPERLINK("http://slimages.macys.com/is/image/MCY/1426090 ")</f>
        <v xml:space="preserve">http://slimages.macys.com/is/image/MCY/1426090 </v>
      </c>
    </row>
    <row r="58" spans="1:12" ht="30" customHeight="1" x14ac:dyDescent="0.25">
      <c r="A58" s="5" t="s">
        <v>2166</v>
      </c>
      <c r="B58" s="2" t="s">
        <v>2167</v>
      </c>
      <c r="C58" s="3">
        <v>1</v>
      </c>
      <c r="D58" s="6">
        <v>14.99</v>
      </c>
      <c r="E58" s="3">
        <v>601657383019</v>
      </c>
      <c r="F58" s="2" t="s">
        <v>2797</v>
      </c>
      <c r="G58" s="7" t="s">
        <v>2546</v>
      </c>
      <c r="H58" s="2" t="s">
        <v>2446</v>
      </c>
      <c r="I58" s="2" t="s">
        <v>3479</v>
      </c>
      <c r="J58" s="2" t="s">
        <v>2361</v>
      </c>
      <c r="K58" s="2"/>
      <c r="L58" s="8" t="str">
        <f>HYPERLINK("http://slimages.macys.com/is/image/MCY/8710651 ")</f>
        <v xml:space="preserve">http://slimages.macys.com/is/image/MCY/8710651 </v>
      </c>
    </row>
    <row r="59" spans="1:12" ht="30" customHeight="1" x14ac:dyDescent="0.25">
      <c r="A59" s="5" t="s">
        <v>2168</v>
      </c>
      <c r="B59" s="2" t="s">
        <v>2169</v>
      </c>
      <c r="C59" s="3">
        <v>2</v>
      </c>
      <c r="D59" s="6">
        <v>14.99</v>
      </c>
      <c r="E59" s="3" t="s">
        <v>2170</v>
      </c>
      <c r="F59" s="2" t="s">
        <v>2517</v>
      </c>
      <c r="G59" s="7"/>
      <c r="H59" s="2" t="s">
        <v>2419</v>
      </c>
      <c r="I59" s="2" t="s">
        <v>2611</v>
      </c>
      <c r="J59" s="2" t="s">
        <v>2361</v>
      </c>
      <c r="K59" s="2" t="s">
        <v>1774</v>
      </c>
      <c r="L59" s="8" t="str">
        <f>HYPERLINK("http://slimages.macys.com/is/image/MCY/531278 ")</f>
        <v xml:space="preserve">http://slimages.macys.com/is/image/MCY/531278 </v>
      </c>
    </row>
    <row r="60" spans="1:12" ht="30" customHeight="1" x14ac:dyDescent="0.25">
      <c r="A60" s="5" t="s">
        <v>2171</v>
      </c>
      <c r="B60" s="2" t="s">
        <v>2172</v>
      </c>
      <c r="C60" s="3">
        <v>1</v>
      </c>
      <c r="D60" s="6">
        <v>22.99</v>
      </c>
      <c r="E60" s="3" t="s">
        <v>2173</v>
      </c>
      <c r="F60" s="2" t="s">
        <v>2374</v>
      </c>
      <c r="G60" s="7"/>
      <c r="H60" s="2" t="s">
        <v>2359</v>
      </c>
      <c r="I60" s="2" t="s">
        <v>2911</v>
      </c>
      <c r="J60" s="2" t="s">
        <v>2361</v>
      </c>
      <c r="K60" s="2" t="s">
        <v>2377</v>
      </c>
      <c r="L60" s="8" t="str">
        <f>HYPERLINK("http://slimages.macys.com/is/image/MCY/10181919 ")</f>
        <v xml:space="preserve">http://slimages.macys.com/is/image/MCY/10181919 </v>
      </c>
    </row>
    <row r="61" spans="1:12" ht="30" customHeight="1" x14ac:dyDescent="0.25">
      <c r="A61" s="5" t="s">
        <v>2174</v>
      </c>
      <c r="B61" s="2" t="s">
        <v>2175</v>
      </c>
      <c r="C61" s="3">
        <v>1</v>
      </c>
      <c r="D61" s="6">
        <v>9.99</v>
      </c>
      <c r="E61" s="3">
        <v>601657384016</v>
      </c>
      <c r="F61" s="2" t="s">
        <v>2394</v>
      </c>
      <c r="G61" s="7" t="s">
        <v>2553</v>
      </c>
      <c r="H61" s="2" t="s">
        <v>2446</v>
      </c>
      <c r="I61" s="2" t="s">
        <v>3479</v>
      </c>
      <c r="J61" s="2" t="s">
        <v>2361</v>
      </c>
      <c r="K61" s="2"/>
      <c r="L61" s="8" t="str">
        <f>HYPERLINK("http://slimages.macys.com/is/image/MCY/8710651 ")</f>
        <v xml:space="preserve">http://slimages.macys.com/is/image/MCY/8710651 </v>
      </c>
    </row>
    <row r="62" spans="1:12" ht="30" customHeight="1" x14ac:dyDescent="0.25">
      <c r="A62" s="5" t="s">
        <v>2176</v>
      </c>
      <c r="B62" s="2" t="s">
        <v>2177</v>
      </c>
      <c r="C62" s="3">
        <v>1</v>
      </c>
      <c r="D62" s="6">
        <v>8.99</v>
      </c>
      <c r="E62" s="3" t="s">
        <v>2178</v>
      </c>
      <c r="F62" s="2" t="s">
        <v>2374</v>
      </c>
      <c r="G62" s="7" t="s">
        <v>2553</v>
      </c>
      <c r="H62" s="2" t="s">
        <v>2532</v>
      </c>
      <c r="I62" s="2" t="s">
        <v>2928</v>
      </c>
      <c r="J62" s="2" t="s">
        <v>2361</v>
      </c>
      <c r="K62" s="2" t="s">
        <v>2179</v>
      </c>
      <c r="L62" s="8" t="str">
        <f>HYPERLINK("http://slimages.macys.com/is/image/MCY/3213346 ")</f>
        <v xml:space="preserve">http://slimages.macys.com/is/image/MCY/3213346 </v>
      </c>
    </row>
    <row r="63" spans="1:12" ht="30" customHeight="1" x14ac:dyDescent="0.25">
      <c r="A63" s="5" t="s">
        <v>2180</v>
      </c>
      <c r="B63" s="2" t="s">
        <v>2181</v>
      </c>
      <c r="C63" s="3">
        <v>1</v>
      </c>
      <c r="D63" s="6">
        <v>9.99</v>
      </c>
      <c r="E63" s="3">
        <v>1003699200</v>
      </c>
      <c r="F63" s="2" t="s">
        <v>2366</v>
      </c>
      <c r="G63" s="7" t="s">
        <v>2546</v>
      </c>
      <c r="H63" s="2" t="s">
        <v>2532</v>
      </c>
      <c r="I63" s="2" t="s">
        <v>2369</v>
      </c>
      <c r="J63" s="2" t="s">
        <v>2361</v>
      </c>
      <c r="K63" s="2" t="s">
        <v>2448</v>
      </c>
      <c r="L63" s="8" t="str">
        <f>HYPERLINK("http://slimages.macys.com/is/image/MCY/11480133 ")</f>
        <v xml:space="preserve">http://slimages.macys.com/is/image/MCY/11480133 </v>
      </c>
    </row>
    <row r="64" spans="1:12" ht="30" customHeight="1" x14ac:dyDescent="0.25">
      <c r="A64" s="5" t="s">
        <v>2182</v>
      </c>
      <c r="B64" s="2" t="s">
        <v>2183</v>
      </c>
      <c r="C64" s="3">
        <v>1</v>
      </c>
      <c r="D64" s="6">
        <v>5.99</v>
      </c>
      <c r="E64" s="3" t="s">
        <v>2184</v>
      </c>
      <c r="F64" s="2" t="s">
        <v>2458</v>
      </c>
      <c r="G64" s="7" t="s">
        <v>2185</v>
      </c>
      <c r="H64" s="2" t="s">
        <v>2446</v>
      </c>
      <c r="I64" s="2" t="s">
        <v>2447</v>
      </c>
      <c r="J64" s="2" t="s">
        <v>2361</v>
      </c>
      <c r="K64" s="2"/>
      <c r="L64" s="8" t="str">
        <f>HYPERLINK("http://slimages.macys.com/is/image/MCY/8149442 ")</f>
        <v xml:space="preserve">http://slimages.macys.com/is/image/MCY/8149442 </v>
      </c>
    </row>
    <row r="65" spans="1:12" ht="30" customHeight="1" x14ac:dyDescent="0.25">
      <c r="A65" s="5" t="s">
        <v>2186</v>
      </c>
      <c r="B65" s="2" t="s">
        <v>2187</v>
      </c>
      <c r="C65" s="3">
        <v>1</v>
      </c>
      <c r="D65" s="6">
        <v>7.99</v>
      </c>
      <c r="E65" s="3" t="s">
        <v>2188</v>
      </c>
      <c r="F65" s="2" t="s">
        <v>2394</v>
      </c>
      <c r="G65" s="7" t="s">
        <v>2723</v>
      </c>
      <c r="H65" s="2" t="s">
        <v>2446</v>
      </c>
      <c r="I65" s="2" t="s">
        <v>2547</v>
      </c>
      <c r="J65" s="2"/>
      <c r="K65" s="2"/>
      <c r="L65" s="8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A2" sqref="A1:A2"/>
    </sheetView>
  </sheetViews>
  <sheetFormatPr defaultRowHeight="15" x14ac:dyDescent="0.25"/>
  <cols>
    <col min="1" max="1" width="14.28515625" customWidth="1"/>
    <col min="2" max="2" width="22.28515625" customWidth="1"/>
    <col min="3" max="3" width="15" customWidth="1"/>
    <col min="4" max="4" width="10.85546875" customWidth="1"/>
    <col min="5" max="6" width="15" customWidth="1"/>
    <col min="7" max="7" width="10.28515625" customWidth="1"/>
    <col min="8" max="8" width="17.140625" customWidth="1"/>
    <col min="9" max="9" width="11.42578125" customWidth="1"/>
    <col min="10" max="11" width="10.85546875" customWidth="1"/>
    <col min="12" max="12" width="6.85546875" customWidth="1"/>
    <col min="13" max="13" width="9.7109375" customWidth="1"/>
    <col min="14" max="14" width="12.140625" customWidth="1"/>
    <col min="15" max="15" width="36.5703125" bestFit="1" customWidth="1"/>
    <col min="16" max="17" width="20.7109375" customWidth="1"/>
    <col min="18" max="18" width="64.28515625" customWidth="1"/>
  </cols>
  <sheetData>
    <row r="1" spans="1:18" ht="36" x14ac:dyDescent="0.25">
      <c r="A1" s="1" t="s">
        <v>2344</v>
      </c>
      <c r="B1" s="1" t="s">
        <v>2345</v>
      </c>
      <c r="C1" s="1" t="s">
        <v>2346</v>
      </c>
      <c r="D1" s="1" t="s">
        <v>2342</v>
      </c>
      <c r="E1" s="1" t="s">
        <v>2337</v>
      </c>
      <c r="F1" s="1" t="s">
        <v>2347</v>
      </c>
      <c r="G1" s="1" t="s">
        <v>2338</v>
      </c>
      <c r="H1" s="1" t="s">
        <v>2348</v>
      </c>
      <c r="I1" s="1" t="s">
        <v>2349</v>
      </c>
      <c r="J1" s="1" t="s">
        <v>2350</v>
      </c>
      <c r="K1" s="1" t="s">
        <v>2341</v>
      </c>
      <c r="L1" s="1" t="s">
        <v>2339</v>
      </c>
      <c r="M1" s="1" t="s">
        <v>2340</v>
      </c>
      <c r="N1" s="1" t="s">
        <v>2351</v>
      </c>
      <c r="O1" s="1" t="s">
        <v>2352</v>
      </c>
      <c r="P1" s="1" t="s">
        <v>2353</v>
      </c>
      <c r="Q1" s="1" t="s">
        <v>2354</v>
      </c>
      <c r="R1" s="1" t="s">
        <v>2355</v>
      </c>
    </row>
    <row r="2" spans="1:18" ht="24.75" x14ac:dyDescent="0.25">
      <c r="A2" s="5" t="s">
        <v>2189</v>
      </c>
      <c r="B2" s="2" t="s">
        <v>2190</v>
      </c>
      <c r="C2" s="3">
        <v>1</v>
      </c>
      <c r="D2" s="4">
        <v>100.3</v>
      </c>
      <c r="E2" s="4">
        <v>100.3</v>
      </c>
      <c r="F2" s="6">
        <v>175.99</v>
      </c>
      <c r="G2" s="4">
        <v>175.99</v>
      </c>
      <c r="H2" s="3">
        <v>7543276</v>
      </c>
      <c r="I2" s="2"/>
      <c r="J2" s="7"/>
      <c r="K2" s="4">
        <v>30.09</v>
      </c>
      <c r="L2" s="4">
        <v>30.09</v>
      </c>
      <c r="M2" s="2" t="s">
        <v>2343</v>
      </c>
      <c r="N2" s="2" t="s">
        <v>2359</v>
      </c>
      <c r="O2" s="2" t="s">
        <v>2794</v>
      </c>
      <c r="P2" s="2" t="s">
        <v>2361</v>
      </c>
      <c r="Q2" s="2"/>
      <c r="R2" s="8" t="str">
        <f>HYPERLINK("http://slimages.macys.com/is/image/MCY/8784768 ")</f>
        <v xml:space="preserve">http://slimages.macys.com/is/image/MCY/8784768 </v>
      </c>
    </row>
    <row r="3" spans="1:18" ht="72.75" x14ac:dyDescent="0.25">
      <c r="A3" s="5" t="s">
        <v>2191</v>
      </c>
      <c r="B3" s="2" t="s">
        <v>2192</v>
      </c>
      <c r="C3" s="3">
        <v>1</v>
      </c>
      <c r="D3" s="4">
        <v>81.37</v>
      </c>
      <c r="E3" s="4">
        <v>81.37</v>
      </c>
      <c r="F3" s="6">
        <v>198.99</v>
      </c>
      <c r="G3" s="4">
        <v>198.99</v>
      </c>
      <c r="H3" s="3" t="s">
        <v>2193</v>
      </c>
      <c r="I3" s="2" t="s">
        <v>2440</v>
      </c>
      <c r="J3" s="7"/>
      <c r="K3" s="4">
        <v>28.479500000000002</v>
      </c>
      <c r="L3" s="4">
        <v>28.479500000000002</v>
      </c>
      <c r="M3" s="2" t="s">
        <v>2343</v>
      </c>
      <c r="N3" s="2" t="s">
        <v>2419</v>
      </c>
      <c r="O3" s="2" t="s">
        <v>2406</v>
      </c>
      <c r="P3" s="2" t="s">
        <v>2361</v>
      </c>
      <c r="Q3" s="2" t="s">
        <v>1093</v>
      </c>
      <c r="R3" s="8" t="str">
        <f>HYPERLINK("http://slimages.macys.com/is/image/MCY/10288162 ")</f>
        <v xml:space="preserve">http://slimages.macys.com/is/image/MCY/10288162 </v>
      </c>
    </row>
    <row r="4" spans="1:18" ht="24.75" x14ac:dyDescent="0.25">
      <c r="A4" s="5" t="s">
        <v>2194</v>
      </c>
      <c r="B4" s="2" t="s">
        <v>2195</v>
      </c>
      <c r="C4" s="3">
        <v>1</v>
      </c>
      <c r="D4" s="4">
        <v>57.4</v>
      </c>
      <c r="E4" s="4">
        <v>57.4</v>
      </c>
      <c r="F4" s="6">
        <v>139.99</v>
      </c>
      <c r="G4" s="4">
        <v>139.99</v>
      </c>
      <c r="H4" s="3" t="s">
        <v>2196</v>
      </c>
      <c r="I4" s="2"/>
      <c r="J4" s="7"/>
      <c r="K4" s="4">
        <v>17.22</v>
      </c>
      <c r="L4" s="4">
        <v>17.22</v>
      </c>
      <c r="M4" s="2" t="s">
        <v>2343</v>
      </c>
      <c r="N4" s="2" t="s">
        <v>2359</v>
      </c>
      <c r="O4" s="2" t="s">
        <v>2727</v>
      </c>
      <c r="P4" s="2" t="s">
        <v>2361</v>
      </c>
      <c r="Q4" s="2" t="s">
        <v>2377</v>
      </c>
      <c r="R4" s="8" t="str">
        <f>HYPERLINK("http://slimages.macys.com/is/image/MCY/15421045 ")</f>
        <v xml:space="preserve">http://slimages.macys.com/is/image/MCY/15421045 </v>
      </c>
    </row>
    <row r="5" spans="1:18" ht="36.75" x14ac:dyDescent="0.25">
      <c r="A5" s="5" t="s">
        <v>2197</v>
      </c>
      <c r="B5" s="2" t="s">
        <v>2198</v>
      </c>
      <c r="C5" s="3">
        <v>1</v>
      </c>
      <c r="D5" s="4">
        <v>53.85</v>
      </c>
      <c r="E5" s="4">
        <v>53.85</v>
      </c>
      <c r="F5" s="6">
        <v>193.99</v>
      </c>
      <c r="G5" s="4">
        <v>193.99</v>
      </c>
      <c r="H5" s="3">
        <v>77348</v>
      </c>
      <c r="I5" s="2" t="s">
        <v>2458</v>
      </c>
      <c r="J5" s="7"/>
      <c r="K5" s="4">
        <v>16.155000000000001</v>
      </c>
      <c r="L5" s="4">
        <v>16.155000000000001</v>
      </c>
      <c r="M5" s="2" t="s">
        <v>2343</v>
      </c>
      <c r="N5" s="2" t="s">
        <v>2359</v>
      </c>
      <c r="O5" s="2" t="s">
        <v>2360</v>
      </c>
      <c r="P5" s="2" t="s">
        <v>2361</v>
      </c>
      <c r="Q5" s="2" t="s">
        <v>2199</v>
      </c>
      <c r="R5" s="8" t="str">
        <f>HYPERLINK("http://slimages.macys.com/is/image/MCY/11942484 ")</f>
        <v xml:space="preserve">http://slimages.macys.com/is/image/MCY/11942484 </v>
      </c>
    </row>
    <row r="6" spans="1:18" ht="24.75" x14ac:dyDescent="0.25">
      <c r="A6" s="5" t="s">
        <v>2200</v>
      </c>
      <c r="B6" s="2" t="s">
        <v>2201</v>
      </c>
      <c r="C6" s="3">
        <v>1</v>
      </c>
      <c r="D6" s="4">
        <v>48</v>
      </c>
      <c r="E6" s="4">
        <v>48</v>
      </c>
      <c r="F6" s="6">
        <v>94.99</v>
      </c>
      <c r="G6" s="4">
        <v>94.99</v>
      </c>
      <c r="H6" s="3" t="s">
        <v>2202</v>
      </c>
      <c r="I6" s="2" t="s">
        <v>2458</v>
      </c>
      <c r="J6" s="7"/>
      <c r="K6" s="4">
        <v>14.4</v>
      </c>
      <c r="L6" s="4">
        <v>14.4</v>
      </c>
      <c r="M6" s="2" t="s">
        <v>2343</v>
      </c>
      <c r="N6" s="2" t="s">
        <v>2430</v>
      </c>
      <c r="O6" s="2" t="s">
        <v>1359</v>
      </c>
      <c r="P6" s="2" t="s">
        <v>2361</v>
      </c>
      <c r="Q6" s="2" t="s">
        <v>2397</v>
      </c>
      <c r="R6" s="8" t="str">
        <f>HYPERLINK("http://slimages.macys.com/is/image/MCY/13720313 ")</f>
        <v xml:space="preserve">http://slimages.macys.com/is/image/MCY/13720313 </v>
      </c>
    </row>
    <row r="7" spans="1:18" ht="24.75" x14ac:dyDescent="0.25">
      <c r="A7" s="5" t="s">
        <v>2203</v>
      </c>
      <c r="B7" s="2" t="s">
        <v>2204</v>
      </c>
      <c r="C7" s="3">
        <v>1</v>
      </c>
      <c r="D7" s="4">
        <v>38.01</v>
      </c>
      <c r="E7" s="4">
        <v>38.01</v>
      </c>
      <c r="F7" s="6">
        <v>79.989999999999995</v>
      </c>
      <c r="G7" s="4">
        <v>79.989999999999995</v>
      </c>
      <c r="H7" s="3">
        <v>1003085000</v>
      </c>
      <c r="I7" s="2" t="s">
        <v>2418</v>
      </c>
      <c r="J7" s="7"/>
      <c r="K7" s="4">
        <v>14.063700000000001</v>
      </c>
      <c r="L7" s="4">
        <v>14.063700000000001</v>
      </c>
      <c r="M7" s="2" t="s">
        <v>2343</v>
      </c>
      <c r="N7" s="2" t="s">
        <v>2532</v>
      </c>
      <c r="O7" s="2" t="s">
        <v>2928</v>
      </c>
      <c r="P7" s="2" t="s">
        <v>2361</v>
      </c>
      <c r="Q7" s="2" t="s">
        <v>2508</v>
      </c>
      <c r="R7" s="8" t="str">
        <f>HYPERLINK("http://slimages.macys.com/is/image/MCY/9971657 ")</f>
        <v xml:space="preserve">http://slimages.macys.com/is/image/MCY/9971657 </v>
      </c>
    </row>
    <row r="8" spans="1:18" ht="24.75" x14ac:dyDescent="0.25">
      <c r="A8" s="5" t="s">
        <v>2205</v>
      </c>
      <c r="B8" s="2" t="s">
        <v>2206</v>
      </c>
      <c r="C8" s="3">
        <v>1</v>
      </c>
      <c r="D8" s="4">
        <v>44.63</v>
      </c>
      <c r="E8" s="4">
        <v>44.63</v>
      </c>
      <c r="F8" s="6">
        <v>87.99</v>
      </c>
      <c r="G8" s="4">
        <v>87.99</v>
      </c>
      <c r="H8" s="3">
        <v>8455276</v>
      </c>
      <c r="I8" s="2"/>
      <c r="J8" s="7"/>
      <c r="K8" s="4">
        <v>13.388999999999999</v>
      </c>
      <c r="L8" s="4">
        <v>13.388999999999999</v>
      </c>
      <c r="M8" s="2" t="s">
        <v>2343</v>
      </c>
      <c r="N8" s="2" t="s">
        <v>2359</v>
      </c>
      <c r="O8" s="2" t="s">
        <v>2794</v>
      </c>
      <c r="P8" s="2"/>
      <c r="Q8" s="2"/>
      <c r="R8" s="8" t="str">
        <f>HYPERLINK("http://slimages.macys.com/is/image/MCY/8784719 ")</f>
        <v xml:space="preserve">http://slimages.macys.com/is/image/MCY/8784719 </v>
      </c>
    </row>
    <row r="9" spans="1:18" ht="24.75" x14ac:dyDescent="0.25">
      <c r="A9" s="5" t="s">
        <v>2207</v>
      </c>
      <c r="B9" s="2" t="s">
        <v>2208</v>
      </c>
      <c r="C9" s="3">
        <v>1</v>
      </c>
      <c r="D9" s="4">
        <v>43.75</v>
      </c>
      <c r="E9" s="4">
        <v>43.75</v>
      </c>
      <c r="F9" s="6">
        <v>79.989999999999995</v>
      </c>
      <c r="G9" s="4">
        <v>79.989999999999995</v>
      </c>
      <c r="H9" s="3" t="s">
        <v>2209</v>
      </c>
      <c r="I9" s="2" t="s">
        <v>2458</v>
      </c>
      <c r="J9" s="7"/>
      <c r="K9" s="4">
        <v>13.125</v>
      </c>
      <c r="L9" s="4">
        <v>13.125</v>
      </c>
      <c r="M9" s="2" t="s">
        <v>2343</v>
      </c>
      <c r="N9" s="2" t="s">
        <v>2537</v>
      </c>
      <c r="O9" s="2" t="s">
        <v>2210</v>
      </c>
      <c r="P9" s="2" t="s">
        <v>2361</v>
      </c>
      <c r="Q9" s="2" t="s">
        <v>3486</v>
      </c>
      <c r="R9" s="8" t="str">
        <f>HYPERLINK("http://slimages.macys.com/is/image/MCY/10149383 ")</f>
        <v xml:space="preserve">http://slimages.macys.com/is/image/MCY/10149383 </v>
      </c>
    </row>
    <row r="10" spans="1:18" ht="96.75" x14ac:dyDescent="0.25">
      <c r="A10" s="5" t="s">
        <v>2211</v>
      </c>
      <c r="B10" s="2" t="s">
        <v>2212</v>
      </c>
      <c r="C10" s="3">
        <v>1</v>
      </c>
      <c r="D10" s="4">
        <v>42.3</v>
      </c>
      <c r="E10" s="4">
        <v>42.3</v>
      </c>
      <c r="F10" s="6">
        <v>109.99</v>
      </c>
      <c r="G10" s="4">
        <v>109.99</v>
      </c>
      <c r="H10" s="3" t="s">
        <v>2213</v>
      </c>
      <c r="I10" s="2" t="s">
        <v>2849</v>
      </c>
      <c r="J10" s="7"/>
      <c r="K10" s="4">
        <v>12.69</v>
      </c>
      <c r="L10" s="4">
        <v>12.69</v>
      </c>
      <c r="M10" s="2" t="s">
        <v>2343</v>
      </c>
      <c r="N10" s="2" t="s">
        <v>2359</v>
      </c>
      <c r="O10" s="2" t="s">
        <v>2406</v>
      </c>
      <c r="P10" s="2" t="s">
        <v>2361</v>
      </c>
      <c r="Q10" s="2" t="s">
        <v>2214</v>
      </c>
      <c r="R10" s="8" t="str">
        <f>HYPERLINK("http://slimages.macys.com/is/image/MCY/9566771 ")</f>
        <v xml:space="preserve">http://slimages.macys.com/is/image/MCY/9566771 </v>
      </c>
    </row>
    <row r="11" spans="1:18" ht="48.75" x14ac:dyDescent="0.25">
      <c r="A11" s="5" t="s">
        <v>2215</v>
      </c>
      <c r="B11" s="2" t="s">
        <v>2216</v>
      </c>
      <c r="C11" s="3">
        <v>1</v>
      </c>
      <c r="D11" s="4">
        <v>35.03</v>
      </c>
      <c r="E11" s="4">
        <v>35.03</v>
      </c>
      <c r="F11" s="6">
        <v>96.99</v>
      </c>
      <c r="G11" s="4">
        <v>96.99</v>
      </c>
      <c r="H11" s="3" t="s">
        <v>2217</v>
      </c>
      <c r="I11" s="2" t="s">
        <v>2440</v>
      </c>
      <c r="J11" s="7" t="s">
        <v>2411</v>
      </c>
      <c r="K11" s="4">
        <v>12.2605</v>
      </c>
      <c r="L11" s="4">
        <v>12.2605</v>
      </c>
      <c r="M11" s="2" t="s">
        <v>2343</v>
      </c>
      <c r="N11" s="2" t="s">
        <v>2412</v>
      </c>
      <c r="O11" s="2" t="s">
        <v>2413</v>
      </c>
      <c r="P11" s="2" t="s">
        <v>2361</v>
      </c>
      <c r="Q11" s="2" t="s">
        <v>2218</v>
      </c>
      <c r="R11" s="8" t="str">
        <f>HYPERLINK("http://slimages.macys.com/is/image/MCY/11716719 ")</f>
        <v xml:space="preserve">http://slimages.macys.com/is/image/MCY/11716719 </v>
      </c>
    </row>
    <row r="12" spans="1:18" ht="48.75" x14ac:dyDescent="0.25">
      <c r="A12" s="5" t="s">
        <v>2219</v>
      </c>
      <c r="B12" s="2" t="s">
        <v>2220</v>
      </c>
      <c r="C12" s="3">
        <v>1</v>
      </c>
      <c r="D12" s="4">
        <v>31.24</v>
      </c>
      <c r="E12" s="4">
        <v>31.24</v>
      </c>
      <c r="F12" s="6">
        <v>84.99</v>
      </c>
      <c r="G12" s="4">
        <v>84.99</v>
      </c>
      <c r="H12" s="3" t="s">
        <v>2221</v>
      </c>
      <c r="I12" s="2" t="s">
        <v>2381</v>
      </c>
      <c r="J12" s="7"/>
      <c r="K12" s="4">
        <v>10.933999999999999</v>
      </c>
      <c r="L12" s="4">
        <v>10.933999999999999</v>
      </c>
      <c r="M12" s="2" t="s">
        <v>2343</v>
      </c>
      <c r="N12" s="2" t="s">
        <v>2419</v>
      </c>
      <c r="O12" s="2" t="s">
        <v>2406</v>
      </c>
      <c r="P12" s="2" t="s">
        <v>2361</v>
      </c>
      <c r="Q12" s="2" t="s">
        <v>2222</v>
      </c>
      <c r="R12" s="8" t="str">
        <f>HYPERLINK("http://slimages.macys.com/is/image/MCY/14429868 ")</f>
        <v xml:space="preserve">http://slimages.macys.com/is/image/MCY/14429868 </v>
      </c>
    </row>
    <row r="13" spans="1:18" ht="24.75" x14ac:dyDescent="0.25">
      <c r="A13" s="5" t="s">
        <v>2223</v>
      </c>
      <c r="B13" s="2" t="s">
        <v>2224</v>
      </c>
      <c r="C13" s="3">
        <v>1</v>
      </c>
      <c r="D13" s="4">
        <v>34.6</v>
      </c>
      <c r="E13" s="4">
        <v>34.6</v>
      </c>
      <c r="F13" s="6">
        <v>79.989999999999995</v>
      </c>
      <c r="G13" s="4">
        <v>79.989999999999995</v>
      </c>
      <c r="H13" s="3" t="s">
        <v>2225</v>
      </c>
      <c r="I13" s="2" t="s">
        <v>3194</v>
      </c>
      <c r="J13" s="7"/>
      <c r="K13" s="4">
        <v>10.38</v>
      </c>
      <c r="L13" s="4">
        <v>10.38</v>
      </c>
      <c r="M13" s="2" t="s">
        <v>2343</v>
      </c>
      <c r="N13" s="2" t="s">
        <v>2388</v>
      </c>
      <c r="O13" s="2" t="s">
        <v>1502</v>
      </c>
      <c r="P13" s="2" t="s">
        <v>2361</v>
      </c>
      <c r="Q13" s="2"/>
      <c r="R13" s="8" t="str">
        <f>HYPERLINK("http://slimages.macys.com/is/image/MCY/9302452 ")</f>
        <v xml:space="preserve">http://slimages.macys.com/is/image/MCY/9302452 </v>
      </c>
    </row>
    <row r="14" spans="1:18" ht="24.75" x14ac:dyDescent="0.25">
      <c r="A14" s="5" t="s">
        <v>2226</v>
      </c>
      <c r="B14" s="2" t="s">
        <v>2227</v>
      </c>
      <c r="C14" s="3">
        <v>2</v>
      </c>
      <c r="D14" s="4">
        <v>34.44</v>
      </c>
      <c r="E14" s="4">
        <v>68.88</v>
      </c>
      <c r="F14" s="6">
        <v>79.989999999999995</v>
      </c>
      <c r="G14" s="4">
        <v>159.97999999999999</v>
      </c>
      <c r="H14" s="3" t="s">
        <v>2228</v>
      </c>
      <c r="I14" s="2" t="s">
        <v>2458</v>
      </c>
      <c r="J14" s="7"/>
      <c r="K14" s="4">
        <v>10.332000000000001</v>
      </c>
      <c r="L14" s="4">
        <v>20.664000000000001</v>
      </c>
      <c r="M14" s="2" t="s">
        <v>2343</v>
      </c>
      <c r="N14" s="2" t="s">
        <v>2388</v>
      </c>
      <c r="O14" s="2" t="s">
        <v>1371</v>
      </c>
      <c r="P14" s="2"/>
      <c r="Q14" s="2"/>
      <c r="R14" s="8" t="str">
        <f>HYPERLINK("http://slimages.macys.com/is/image/MCY/3271857 ")</f>
        <v xml:space="preserve">http://slimages.macys.com/is/image/MCY/3271857 </v>
      </c>
    </row>
    <row r="15" spans="1:18" ht="132.75" x14ac:dyDescent="0.25">
      <c r="A15" s="5" t="s">
        <v>2229</v>
      </c>
      <c r="B15" s="2" t="s">
        <v>2230</v>
      </c>
      <c r="C15" s="3">
        <v>1</v>
      </c>
      <c r="D15" s="4">
        <v>33.14</v>
      </c>
      <c r="E15" s="4">
        <v>33.14</v>
      </c>
      <c r="F15" s="6">
        <v>79.989999999999995</v>
      </c>
      <c r="G15" s="4">
        <v>79.989999999999995</v>
      </c>
      <c r="H15" s="3" t="s">
        <v>2231</v>
      </c>
      <c r="I15" s="2" t="s">
        <v>3238</v>
      </c>
      <c r="J15" s="7"/>
      <c r="K15" s="4">
        <v>9.9420000000000002</v>
      </c>
      <c r="L15" s="4">
        <v>9.9420000000000002</v>
      </c>
      <c r="M15" s="2" t="s">
        <v>2343</v>
      </c>
      <c r="N15" s="2" t="s">
        <v>2359</v>
      </c>
      <c r="O15" s="2" t="s">
        <v>2406</v>
      </c>
      <c r="P15" s="2" t="s">
        <v>2361</v>
      </c>
      <c r="Q15" s="2" t="s">
        <v>2232</v>
      </c>
      <c r="R15" s="8" t="str">
        <f>HYPERLINK("http://slimages.macys.com/is/image/MCY/8938139 ")</f>
        <v xml:space="preserve">http://slimages.macys.com/is/image/MCY/8938139 </v>
      </c>
    </row>
    <row r="16" spans="1:18" ht="96.75" x14ac:dyDescent="0.25">
      <c r="A16" s="5" t="s">
        <v>2233</v>
      </c>
      <c r="B16" s="2" t="s">
        <v>2234</v>
      </c>
      <c r="C16" s="3">
        <v>1</v>
      </c>
      <c r="D16" s="4">
        <v>31.24</v>
      </c>
      <c r="E16" s="4">
        <v>31.24</v>
      </c>
      <c r="F16" s="6">
        <v>112.99</v>
      </c>
      <c r="G16" s="4">
        <v>112.99</v>
      </c>
      <c r="H16" s="3" t="s">
        <v>2235</v>
      </c>
      <c r="I16" s="2" t="s">
        <v>2381</v>
      </c>
      <c r="J16" s="7"/>
      <c r="K16" s="4">
        <v>9.3719999999999999</v>
      </c>
      <c r="L16" s="4">
        <v>9.3719999999999999</v>
      </c>
      <c r="M16" s="2" t="s">
        <v>2343</v>
      </c>
      <c r="N16" s="2" t="s">
        <v>2359</v>
      </c>
      <c r="O16" s="2" t="s">
        <v>2406</v>
      </c>
      <c r="P16" s="2" t="s">
        <v>2361</v>
      </c>
      <c r="Q16" s="2" t="s">
        <v>2236</v>
      </c>
      <c r="R16" s="8" t="str">
        <f>HYPERLINK("http://slimages.macys.com/is/image/MCY/12934027 ")</f>
        <v xml:space="preserve">http://slimages.macys.com/is/image/MCY/12934027 </v>
      </c>
    </row>
    <row r="17" spans="1:18" ht="36.75" x14ac:dyDescent="0.25">
      <c r="A17" s="5" t="s">
        <v>2237</v>
      </c>
      <c r="B17" s="2" t="s">
        <v>2238</v>
      </c>
      <c r="C17" s="3">
        <v>1</v>
      </c>
      <c r="D17" s="4">
        <v>30.74</v>
      </c>
      <c r="E17" s="4">
        <v>30.74</v>
      </c>
      <c r="F17" s="6">
        <v>68.989999999999995</v>
      </c>
      <c r="G17" s="4">
        <v>68.989999999999995</v>
      </c>
      <c r="H17" s="3" t="s">
        <v>2239</v>
      </c>
      <c r="I17" s="2" t="s">
        <v>2622</v>
      </c>
      <c r="J17" s="7" t="s">
        <v>3039</v>
      </c>
      <c r="K17" s="4">
        <v>9.2219999999999995</v>
      </c>
      <c r="L17" s="4">
        <v>9.2219999999999995</v>
      </c>
      <c r="M17" s="2" t="s">
        <v>2343</v>
      </c>
      <c r="N17" s="2" t="s">
        <v>2749</v>
      </c>
      <c r="O17" s="2" t="s">
        <v>2750</v>
      </c>
      <c r="P17" s="2" t="s">
        <v>2361</v>
      </c>
      <c r="Q17" s="2" t="s">
        <v>1867</v>
      </c>
      <c r="R17" s="8" t="str">
        <f>HYPERLINK("http://slimages.macys.com/is/image/MCY/8810464 ")</f>
        <v xml:space="preserve">http://slimages.macys.com/is/image/MCY/8810464 </v>
      </c>
    </row>
    <row r="18" spans="1:18" ht="24.75" x14ac:dyDescent="0.25">
      <c r="A18" s="5" t="s">
        <v>2240</v>
      </c>
      <c r="B18" s="2" t="s">
        <v>2241</v>
      </c>
      <c r="C18" s="3">
        <v>1</v>
      </c>
      <c r="D18" s="4">
        <v>28.46</v>
      </c>
      <c r="E18" s="4">
        <v>28.46</v>
      </c>
      <c r="F18" s="6">
        <v>69.989999999999995</v>
      </c>
      <c r="G18" s="4">
        <v>69.989999999999995</v>
      </c>
      <c r="H18" s="3" t="s">
        <v>2242</v>
      </c>
      <c r="I18" s="2"/>
      <c r="J18" s="7"/>
      <c r="K18" s="4">
        <v>8.5380000000000003</v>
      </c>
      <c r="L18" s="4">
        <v>8.5380000000000003</v>
      </c>
      <c r="M18" s="2" t="s">
        <v>2343</v>
      </c>
      <c r="N18" s="2" t="s">
        <v>2359</v>
      </c>
      <c r="O18" s="2" t="s">
        <v>2803</v>
      </c>
      <c r="P18" s="2" t="s">
        <v>2361</v>
      </c>
      <c r="Q18" s="2" t="s">
        <v>2243</v>
      </c>
      <c r="R18" s="8" t="str">
        <f>HYPERLINK("http://slimages.macys.com/is/image/MCY/8962717 ")</f>
        <v xml:space="preserve">http://slimages.macys.com/is/image/MCY/8962717 </v>
      </c>
    </row>
    <row r="19" spans="1:18" ht="24.75" x14ac:dyDescent="0.25">
      <c r="A19" s="5" t="s">
        <v>2244</v>
      </c>
      <c r="B19" s="2" t="s">
        <v>2245</v>
      </c>
      <c r="C19" s="3">
        <v>1</v>
      </c>
      <c r="D19" s="4">
        <v>28.46</v>
      </c>
      <c r="E19" s="4">
        <v>28.46</v>
      </c>
      <c r="F19" s="6">
        <v>69.989999999999995</v>
      </c>
      <c r="G19" s="4">
        <v>69.989999999999995</v>
      </c>
      <c r="H19" s="3" t="s">
        <v>2246</v>
      </c>
      <c r="I19" s="2"/>
      <c r="J19" s="7"/>
      <c r="K19" s="4">
        <v>8.5380000000000003</v>
      </c>
      <c r="L19" s="4">
        <v>8.5380000000000003</v>
      </c>
      <c r="M19" s="2" t="s">
        <v>2343</v>
      </c>
      <c r="N19" s="2" t="s">
        <v>2359</v>
      </c>
      <c r="O19" s="2" t="s">
        <v>2803</v>
      </c>
      <c r="P19" s="2" t="s">
        <v>2361</v>
      </c>
      <c r="Q19" s="2" t="s">
        <v>2243</v>
      </c>
      <c r="R19" s="8" t="str">
        <f>HYPERLINK("http://slimages.macys.com/is/image/MCY/8962717 ")</f>
        <v xml:space="preserve">http://slimages.macys.com/is/image/MCY/8962717 </v>
      </c>
    </row>
    <row r="20" spans="1:18" ht="144.75" x14ac:dyDescent="0.25">
      <c r="A20" s="5" t="s">
        <v>2773</v>
      </c>
      <c r="B20" s="2" t="s">
        <v>2774</v>
      </c>
      <c r="C20" s="3">
        <v>1</v>
      </c>
      <c r="D20" s="4">
        <v>28.41</v>
      </c>
      <c r="E20" s="4">
        <v>28.41</v>
      </c>
      <c r="F20" s="6">
        <v>69.989999999999995</v>
      </c>
      <c r="G20" s="4">
        <v>69.989999999999995</v>
      </c>
      <c r="H20" s="3" t="s">
        <v>2775</v>
      </c>
      <c r="I20" s="2" t="s">
        <v>2649</v>
      </c>
      <c r="J20" s="7"/>
      <c r="K20" s="4">
        <v>8.5229999999999997</v>
      </c>
      <c r="L20" s="4">
        <v>8.5229999999999997</v>
      </c>
      <c r="M20" s="2" t="s">
        <v>2343</v>
      </c>
      <c r="N20" s="2" t="s">
        <v>2359</v>
      </c>
      <c r="O20" s="2" t="s">
        <v>2406</v>
      </c>
      <c r="P20" s="2" t="s">
        <v>2361</v>
      </c>
      <c r="Q20" s="2" t="s">
        <v>2776</v>
      </c>
      <c r="R20" s="8" t="str">
        <f>HYPERLINK("http://slimages.macys.com/is/image/MCY/8939359 ")</f>
        <v xml:space="preserve">http://slimages.macys.com/is/image/MCY/8939359 </v>
      </c>
    </row>
    <row r="21" spans="1:18" ht="36.75" x14ac:dyDescent="0.25">
      <c r="A21" s="5" t="s">
        <v>2247</v>
      </c>
      <c r="B21" s="2" t="s">
        <v>2825</v>
      </c>
      <c r="C21" s="3">
        <v>1</v>
      </c>
      <c r="D21" s="4">
        <v>22.5</v>
      </c>
      <c r="E21" s="4">
        <v>22.5</v>
      </c>
      <c r="F21" s="6">
        <v>55.99</v>
      </c>
      <c r="G21" s="4">
        <v>55.99</v>
      </c>
      <c r="H21" s="3" t="s">
        <v>2248</v>
      </c>
      <c r="I21" s="2" t="s">
        <v>2374</v>
      </c>
      <c r="J21" s="7"/>
      <c r="K21" s="4">
        <v>7.875</v>
      </c>
      <c r="L21" s="4">
        <v>7.875</v>
      </c>
      <c r="M21" s="2" t="s">
        <v>2343</v>
      </c>
      <c r="N21" s="2" t="s">
        <v>2412</v>
      </c>
      <c r="O21" s="2" t="s">
        <v>2249</v>
      </c>
      <c r="P21" s="2" t="s">
        <v>2361</v>
      </c>
      <c r="Q21" s="2" t="s">
        <v>2250</v>
      </c>
      <c r="R21" s="8" t="str">
        <f>HYPERLINK("http://slimages.macys.com/is/image/MCY/14329769 ")</f>
        <v xml:space="preserve">http://slimages.macys.com/is/image/MCY/14329769 </v>
      </c>
    </row>
    <row r="22" spans="1:18" ht="24.75" x14ac:dyDescent="0.25">
      <c r="A22" s="5" t="s">
        <v>2251</v>
      </c>
      <c r="B22" s="2" t="s">
        <v>2252</v>
      </c>
      <c r="C22" s="3">
        <v>1</v>
      </c>
      <c r="D22" s="4">
        <v>22.35</v>
      </c>
      <c r="E22" s="4">
        <v>22.35</v>
      </c>
      <c r="F22" s="6">
        <v>49.99</v>
      </c>
      <c r="G22" s="4">
        <v>49.99</v>
      </c>
      <c r="H22" s="3" t="s">
        <v>2253</v>
      </c>
      <c r="I22" s="2" t="s">
        <v>2517</v>
      </c>
      <c r="J22" s="7" t="s">
        <v>2382</v>
      </c>
      <c r="K22" s="4">
        <v>6.7050000000000001</v>
      </c>
      <c r="L22" s="4">
        <v>6.7050000000000001</v>
      </c>
      <c r="M22" s="2" t="s">
        <v>2343</v>
      </c>
      <c r="N22" s="2" t="s">
        <v>2473</v>
      </c>
      <c r="O22" s="2" t="s">
        <v>2254</v>
      </c>
      <c r="P22" s="2" t="s">
        <v>2361</v>
      </c>
      <c r="Q22" s="2" t="s">
        <v>2377</v>
      </c>
      <c r="R22" s="8" t="str">
        <f>HYPERLINK("http://slimages.macys.com/is/image/MCY/1667852 ")</f>
        <v xml:space="preserve">http://slimages.macys.com/is/image/MCY/1667852 </v>
      </c>
    </row>
    <row r="23" spans="1:18" ht="60.75" x14ac:dyDescent="0.25">
      <c r="A23" s="5" t="s">
        <v>2255</v>
      </c>
      <c r="B23" s="2" t="s">
        <v>2256</v>
      </c>
      <c r="C23" s="3">
        <v>1</v>
      </c>
      <c r="D23" s="4">
        <v>19.03</v>
      </c>
      <c r="E23" s="4">
        <v>19.03</v>
      </c>
      <c r="F23" s="6">
        <v>47.99</v>
      </c>
      <c r="G23" s="4">
        <v>47.99</v>
      </c>
      <c r="H23" s="3" t="s">
        <v>2257</v>
      </c>
      <c r="I23" s="2" t="s">
        <v>2374</v>
      </c>
      <c r="J23" s="7" t="s">
        <v>2666</v>
      </c>
      <c r="K23" s="4">
        <v>6.6604999999999999</v>
      </c>
      <c r="L23" s="4">
        <v>6.6604999999999999</v>
      </c>
      <c r="M23" s="2" t="s">
        <v>2343</v>
      </c>
      <c r="N23" s="2" t="s">
        <v>2412</v>
      </c>
      <c r="O23" s="2" t="s">
        <v>2788</v>
      </c>
      <c r="P23" s="2" t="s">
        <v>2789</v>
      </c>
      <c r="Q23" s="2" t="s">
        <v>2258</v>
      </c>
      <c r="R23" s="8" t="str">
        <f>HYPERLINK("http://slimages.macys.com/is/image/MCY/11798687 ")</f>
        <v xml:space="preserve">http://slimages.macys.com/is/image/MCY/11798687 </v>
      </c>
    </row>
    <row r="24" spans="1:18" ht="24.75" x14ac:dyDescent="0.25">
      <c r="A24" s="5" t="s">
        <v>2259</v>
      </c>
      <c r="B24" s="2" t="s">
        <v>2260</v>
      </c>
      <c r="C24" s="3">
        <v>1</v>
      </c>
      <c r="D24" s="4">
        <v>20.87</v>
      </c>
      <c r="E24" s="4">
        <v>20.87</v>
      </c>
      <c r="F24" s="6">
        <v>62.99</v>
      </c>
      <c r="G24" s="4">
        <v>62.99</v>
      </c>
      <c r="H24" s="3">
        <v>80815</v>
      </c>
      <c r="I24" s="2" t="s">
        <v>3038</v>
      </c>
      <c r="J24" s="7"/>
      <c r="K24" s="4">
        <v>6.2610000000000001</v>
      </c>
      <c r="L24" s="4">
        <v>6.2610000000000001</v>
      </c>
      <c r="M24" s="2" t="s">
        <v>2343</v>
      </c>
      <c r="N24" s="2" t="s">
        <v>2359</v>
      </c>
      <c r="O24" s="2" t="s">
        <v>2360</v>
      </c>
      <c r="P24" s="2" t="s">
        <v>2361</v>
      </c>
      <c r="Q24" s="2" t="s">
        <v>2377</v>
      </c>
      <c r="R24" s="8" t="str">
        <f>HYPERLINK("http://slimages.macys.com/is/image/MCY/13040242 ")</f>
        <v xml:space="preserve">http://slimages.macys.com/is/image/MCY/13040242 </v>
      </c>
    </row>
    <row r="25" spans="1:18" ht="24.75" x14ac:dyDescent="0.25">
      <c r="A25" s="5" t="s">
        <v>2261</v>
      </c>
      <c r="B25" s="2" t="s">
        <v>2262</v>
      </c>
      <c r="C25" s="3">
        <v>1</v>
      </c>
      <c r="D25" s="4">
        <v>20.34</v>
      </c>
      <c r="E25" s="4">
        <v>20.34</v>
      </c>
      <c r="F25" s="6">
        <v>54.99</v>
      </c>
      <c r="G25" s="4">
        <v>54.99</v>
      </c>
      <c r="H25" s="3" t="s">
        <v>2263</v>
      </c>
      <c r="I25" s="2" t="s">
        <v>2381</v>
      </c>
      <c r="J25" s="7"/>
      <c r="K25" s="4">
        <v>6.1020000000000003</v>
      </c>
      <c r="L25" s="4">
        <v>6.1020000000000003</v>
      </c>
      <c r="M25" s="2" t="s">
        <v>2343</v>
      </c>
      <c r="N25" s="2" t="s">
        <v>2359</v>
      </c>
      <c r="O25" s="2" t="s">
        <v>2406</v>
      </c>
      <c r="P25" s="2" t="s">
        <v>2361</v>
      </c>
      <c r="Q25" s="2" t="s">
        <v>2264</v>
      </c>
      <c r="R25" s="8" t="str">
        <f>HYPERLINK("http://slimages.macys.com/is/image/MCY/9492578 ")</f>
        <v xml:space="preserve">http://slimages.macys.com/is/image/MCY/9492578 </v>
      </c>
    </row>
    <row r="26" spans="1:18" ht="24.75" x14ac:dyDescent="0.25">
      <c r="A26" s="5" t="s">
        <v>2265</v>
      </c>
      <c r="B26" s="2" t="s">
        <v>2266</v>
      </c>
      <c r="C26" s="3">
        <v>1</v>
      </c>
      <c r="D26" s="4">
        <v>20.329999999999998</v>
      </c>
      <c r="E26" s="4">
        <v>20.329999999999998</v>
      </c>
      <c r="F26" s="6">
        <v>55.99</v>
      </c>
      <c r="G26" s="4">
        <v>55.99</v>
      </c>
      <c r="H26" s="3" t="s">
        <v>2267</v>
      </c>
      <c r="I26" s="2" t="s">
        <v>2440</v>
      </c>
      <c r="J26" s="7"/>
      <c r="K26" s="4">
        <v>6.0990000000000002</v>
      </c>
      <c r="L26" s="4">
        <v>6.0990000000000002</v>
      </c>
      <c r="M26" s="2" t="s">
        <v>2343</v>
      </c>
      <c r="N26" s="2" t="s">
        <v>2359</v>
      </c>
      <c r="O26" s="2" t="s">
        <v>2803</v>
      </c>
      <c r="P26" s="2" t="s">
        <v>2361</v>
      </c>
      <c r="Q26" s="2" t="s">
        <v>2377</v>
      </c>
      <c r="R26" s="8" t="str">
        <f>HYPERLINK("http://slimages.macys.com/is/image/MCY/15171350 ")</f>
        <v xml:space="preserve">http://slimages.macys.com/is/image/MCY/15171350 </v>
      </c>
    </row>
    <row r="27" spans="1:18" ht="24.75" x14ac:dyDescent="0.25">
      <c r="A27" s="5" t="s">
        <v>2268</v>
      </c>
      <c r="B27" s="2" t="s">
        <v>2269</v>
      </c>
      <c r="C27" s="3">
        <v>1</v>
      </c>
      <c r="D27" s="4">
        <v>20</v>
      </c>
      <c r="E27" s="4">
        <v>20</v>
      </c>
      <c r="F27" s="6">
        <v>39.99</v>
      </c>
      <c r="G27" s="4">
        <v>39.99</v>
      </c>
      <c r="H27" s="3" t="s">
        <v>2270</v>
      </c>
      <c r="I27" s="2" t="s">
        <v>2512</v>
      </c>
      <c r="J27" s="7"/>
      <c r="K27" s="4">
        <v>6</v>
      </c>
      <c r="L27" s="4">
        <v>6</v>
      </c>
      <c r="M27" s="2" t="s">
        <v>2343</v>
      </c>
      <c r="N27" s="2" t="s">
        <v>2879</v>
      </c>
      <c r="O27" s="2" t="s">
        <v>2271</v>
      </c>
      <c r="P27" s="2" t="s">
        <v>2361</v>
      </c>
      <c r="Q27" s="2" t="s">
        <v>2397</v>
      </c>
      <c r="R27" s="8" t="str">
        <f>HYPERLINK("http://slimages.macys.com/is/image/MCY/3102733 ")</f>
        <v xml:space="preserve">http://slimages.macys.com/is/image/MCY/3102733 </v>
      </c>
    </row>
    <row r="28" spans="1:18" ht="24.75" x14ac:dyDescent="0.25">
      <c r="A28" s="5" t="s">
        <v>2272</v>
      </c>
      <c r="B28" s="2" t="s">
        <v>2273</v>
      </c>
      <c r="C28" s="3">
        <v>1</v>
      </c>
      <c r="D28" s="4">
        <v>18.62</v>
      </c>
      <c r="E28" s="4">
        <v>18.62</v>
      </c>
      <c r="F28" s="6">
        <v>49.99</v>
      </c>
      <c r="G28" s="4">
        <v>49.99</v>
      </c>
      <c r="H28" s="3" t="s">
        <v>2274</v>
      </c>
      <c r="I28" s="2" t="s">
        <v>2401</v>
      </c>
      <c r="J28" s="7" t="s">
        <v>2627</v>
      </c>
      <c r="K28" s="4">
        <v>5.5860000000000003</v>
      </c>
      <c r="L28" s="4">
        <v>5.5860000000000003</v>
      </c>
      <c r="M28" s="2" t="s">
        <v>2343</v>
      </c>
      <c r="N28" s="2" t="s">
        <v>2984</v>
      </c>
      <c r="O28" s="2" t="s">
        <v>3059</v>
      </c>
      <c r="P28" s="2" t="s">
        <v>2361</v>
      </c>
      <c r="Q28" s="2" t="s">
        <v>2127</v>
      </c>
      <c r="R28" s="8" t="str">
        <f>HYPERLINK("http://slimages.macys.com/is/image/MCY/8054293 ")</f>
        <v xml:space="preserve">http://slimages.macys.com/is/image/MCY/8054293 </v>
      </c>
    </row>
    <row r="29" spans="1:18" ht="24.75" x14ac:dyDescent="0.25">
      <c r="A29" s="5" t="s">
        <v>2275</v>
      </c>
      <c r="B29" s="2" t="s">
        <v>2276</v>
      </c>
      <c r="C29" s="3">
        <v>1</v>
      </c>
      <c r="D29" s="4">
        <v>16.850000000000001</v>
      </c>
      <c r="E29" s="4">
        <v>16.850000000000001</v>
      </c>
      <c r="F29" s="6">
        <v>39.99</v>
      </c>
      <c r="G29" s="4">
        <v>39.99</v>
      </c>
      <c r="H29" s="3" t="s">
        <v>2277</v>
      </c>
      <c r="I29" s="2" t="s">
        <v>2797</v>
      </c>
      <c r="J29" s="7"/>
      <c r="K29" s="4">
        <v>5.0549999999999997</v>
      </c>
      <c r="L29" s="4">
        <v>5.0549999999999997</v>
      </c>
      <c r="M29" s="2" t="s">
        <v>2343</v>
      </c>
      <c r="N29" s="2" t="s">
        <v>1844</v>
      </c>
      <c r="O29" s="2" t="s">
        <v>2278</v>
      </c>
      <c r="P29" s="2" t="s">
        <v>2361</v>
      </c>
      <c r="Q29" s="2"/>
      <c r="R29" s="8" t="str">
        <f>HYPERLINK("http://slimages.macys.com/is/image/MCY/9356968 ")</f>
        <v xml:space="preserve">http://slimages.macys.com/is/image/MCY/9356968 </v>
      </c>
    </row>
    <row r="30" spans="1:18" ht="24.75" x14ac:dyDescent="0.25">
      <c r="A30" s="5" t="s">
        <v>2279</v>
      </c>
      <c r="B30" s="2" t="s">
        <v>2280</v>
      </c>
      <c r="C30" s="3">
        <v>1</v>
      </c>
      <c r="D30" s="4">
        <v>16.5</v>
      </c>
      <c r="E30" s="4">
        <v>16.5</v>
      </c>
      <c r="F30" s="6">
        <v>48.99</v>
      </c>
      <c r="G30" s="4">
        <v>48.99</v>
      </c>
      <c r="H30" s="3" t="s">
        <v>2280</v>
      </c>
      <c r="I30" s="2" t="s">
        <v>2458</v>
      </c>
      <c r="J30" s="7"/>
      <c r="K30" s="4">
        <v>4.95</v>
      </c>
      <c r="L30" s="4">
        <v>4.95</v>
      </c>
      <c r="M30" s="2" t="s">
        <v>2343</v>
      </c>
      <c r="N30" s="2" t="s">
        <v>2359</v>
      </c>
      <c r="O30" s="2" t="s">
        <v>1652</v>
      </c>
      <c r="P30" s="2" t="s">
        <v>2361</v>
      </c>
      <c r="Q30" s="2" t="s">
        <v>2377</v>
      </c>
      <c r="R30" s="8" t="str">
        <f>HYPERLINK("http://slimages.macys.com/is/image/MCY/10434239 ")</f>
        <v xml:space="preserve">http://slimages.macys.com/is/image/MCY/10434239 </v>
      </c>
    </row>
    <row r="31" spans="1:18" ht="24.75" x14ac:dyDescent="0.25">
      <c r="A31" s="5" t="s">
        <v>2281</v>
      </c>
      <c r="B31" s="2" t="s">
        <v>1273</v>
      </c>
      <c r="C31" s="3">
        <v>2</v>
      </c>
      <c r="D31" s="4">
        <v>13.5</v>
      </c>
      <c r="E31" s="4">
        <v>27</v>
      </c>
      <c r="F31" s="6">
        <v>29.99</v>
      </c>
      <c r="G31" s="4">
        <v>59.98</v>
      </c>
      <c r="H31" s="3" t="s">
        <v>2282</v>
      </c>
      <c r="I31" s="2" t="s">
        <v>2374</v>
      </c>
      <c r="J31" s="7" t="s">
        <v>2382</v>
      </c>
      <c r="K31" s="4">
        <v>4.7249999999999996</v>
      </c>
      <c r="L31" s="4">
        <v>9.4499999999999993</v>
      </c>
      <c r="M31" s="2" t="s">
        <v>2343</v>
      </c>
      <c r="N31" s="2" t="s">
        <v>2419</v>
      </c>
      <c r="O31" s="2" t="s">
        <v>2798</v>
      </c>
      <c r="P31" s="2" t="s">
        <v>2361</v>
      </c>
      <c r="Q31" s="2" t="s">
        <v>1275</v>
      </c>
      <c r="R31" s="8" t="str">
        <f>HYPERLINK("http://slimages.macys.com/is/image/MCY/11838422 ")</f>
        <v xml:space="preserve">http://slimages.macys.com/is/image/MCY/11838422 </v>
      </c>
    </row>
    <row r="32" spans="1:18" ht="24.75" x14ac:dyDescent="0.25">
      <c r="A32" s="5" t="s">
        <v>2283</v>
      </c>
      <c r="B32" s="2" t="s">
        <v>2284</v>
      </c>
      <c r="C32" s="3">
        <v>1</v>
      </c>
      <c r="D32" s="4">
        <v>15.64</v>
      </c>
      <c r="E32" s="4">
        <v>15.64</v>
      </c>
      <c r="F32" s="6">
        <v>33.99</v>
      </c>
      <c r="G32" s="4">
        <v>33.99</v>
      </c>
      <c r="H32" s="3">
        <v>7543780</v>
      </c>
      <c r="I32" s="2" t="s">
        <v>3038</v>
      </c>
      <c r="J32" s="7" t="s">
        <v>2382</v>
      </c>
      <c r="K32" s="4">
        <v>4.6920000000000002</v>
      </c>
      <c r="L32" s="4">
        <v>4.6920000000000002</v>
      </c>
      <c r="M32" s="2" t="s">
        <v>2343</v>
      </c>
      <c r="N32" s="2" t="s">
        <v>2359</v>
      </c>
      <c r="O32" s="2" t="s">
        <v>2794</v>
      </c>
      <c r="P32" s="2"/>
      <c r="Q32" s="2"/>
      <c r="R32" s="8" t="str">
        <f>HYPERLINK("http://slimages.macys.com/is/image/MCY/8784771 ")</f>
        <v xml:space="preserve">http://slimages.macys.com/is/image/MCY/8784771 </v>
      </c>
    </row>
    <row r="33" spans="1:18" ht="24.75" x14ac:dyDescent="0.25">
      <c r="A33" s="5" t="s">
        <v>1541</v>
      </c>
      <c r="B33" s="2" t="s">
        <v>1542</v>
      </c>
      <c r="C33" s="3">
        <v>2</v>
      </c>
      <c r="D33" s="4">
        <v>11.82</v>
      </c>
      <c r="E33" s="4">
        <v>23.64</v>
      </c>
      <c r="F33" s="6">
        <v>24.99</v>
      </c>
      <c r="G33" s="4">
        <v>49.98</v>
      </c>
      <c r="H33" s="3" t="s">
        <v>1543</v>
      </c>
      <c r="I33" s="2" t="s">
        <v>2458</v>
      </c>
      <c r="J33" s="7"/>
      <c r="K33" s="4">
        <v>4.3734000000000002</v>
      </c>
      <c r="L33" s="4">
        <v>8.7468000000000004</v>
      </c>
      <c r="M33" s="2" t="s">
        <v>2343</v>
      </c>
      <c r="N33" s="2" t="s">
        <v>2459</v>
      </c>
      <c r="O33" s="2" t="s">
        <v>2406</v>
      </c>
      <c r="P33" s="2" t="s">
        <v>2361</v>
      </c>
      <c r="Q33" s="2"/>
      <c r="R33" s="8" t="str">
        <f>HYPERLINK("http://slimages.macys.com/is/image/MCY/11706602 ")</f>
        <v xml:space="preserve">http://slimages.macys.com/is/image/MCY/11706602 </v>
      </c>
    </row>
    <row r="34" spans="1:18" ht="24.75" x14ac:dyDescent="0.25">
      <c r="A34" s="5" t="s">
        <v>2285</v>
      </c>
      <c r="B34" s="2" t="s">
        <v>2286</v>
      </c>
      <c r="C34" s="3">
        <v>2</v>
      </c>
      <c r="D34" s="4">
        <v>11.36</v>
      </c>
      <c r="E34" s="4">
        <v>22.72</v>
      </c>
      <c r="F34" s="6">
        <v>24.99</v>
      </c>
      <c r="G34" s="4">
        <v>49.98</v>
      </c>
      <c r="H34" s="3" t="s">
        <v>2287</v>
      </c>
      <c r="I34" s="2" t="s">
        <v>2374</v>
      </c>
      <c r="J34" s="7"/>
      <c r="K34" s="4">
        <v>4.2031999999999998</v>
      </c>
      <c r="L34" s="4">
        <v>8.4063999999999997</v>
      </c>
      <c r="M34" s="2" t="s">
        <v>2343</v>
      </c>
      <c r="N34" s="2" t="s">
        <v>2459</v>
      </c>
      <c r="O34" s="2" t="s">
        <v>2406</v>
      </c>
      <c r="P34" s="2" t="s">
        <v>2361</v>
      </c>
      <c r="Q34" s="2"/>
      <c r="R34" s="8" t="str">
        <f>HYPERLINK("http://slimages.macys.com/is/image/MCY/9020950 ")</f>
        <v xml:space="preserve">http://slimages.macys.com/is/image/MCY/9020950 </v>
      </c>
    </row>
    <row r="35" spans="1:18" ht="24.75" x14ac:dyDescent="0.25">
      <c r="A35" s="5" t="s">
        <v>2288</v>
      </c>
      <c r="B35" s="2" t="s">
        <v>2289</v>
      </c>
      <c r="C35" s="3">
        <v>2</v>
      </c>
      <c r="D35" s="4">
        <v>11.36</v>
      </c>
      <c r="E35" s="4">
        <v>22.72</v>
      </c>
      <c r="F35" s="6">
        <v>24.99</v>
      </c>
      <c r="G35" s="4">
        <v>49.98</v>
      </c>
      <c r="H35" s="3" t="s">
        <v>2290</v>
      </c>
      <c r="I35" s="2" t="s">
        <v>2424</v>
      </c>
      <c r="J35" s="7"/>
      <c r="K35" s="4">
        <v>4.2031999999999998</v>
      </c>
      <c r="L35" s="4">
        <v>8.4063999999999997</v>
      </c>
      <c r="M35" s="2" t="s">
        <v>2343</v>
      </c>
      <c r="N35" s="2" t="s">
        <v>2459</v>
      </c>
      <c r="O35" s="2" t="s">
        <v>2406</v>
      </c>
      <c r="P35" s="2" t="s">
        <v>2361</v>
      </c>
      <c r="Q35" s="2"/>
      <c r="R35" s="8" t="str">
        <f>HYPERLINK("http://slimages.macys.com/is/image/MCY/9021210 ")</f>
        <v xml:space="preserve">http://slimages.macys.com/is/image/MCY/9021210 </v>
      </c>
    </row>
    <row r="36" spans="1:18" ht="24.75" x14ac:dyDescent="0.25">
      <c r="A36" s="5" t="s">
        <v>2291</v>
      </c>
      <c r="B36" s="2" t="s">
        <v>2292</v>
      </c>
      <c r="C36" s="3">
        <v>1</v>
      </c>
      <c r="D36" s="4">
        <v>12</v>
      </c>
      <c r="E36" s="4">
        <v>12</v>
      </c>
      <c r="F36" s="6">
        <v>24.99</v>
      </c>
      <c r="G36" s="4">
        <v>24.99</v>
      </c>
      <c r="H36" s="3" t="s">
        <v>2293</v>
      </c>
      <c r="I36" s="2" t="s">
        <v>3194</v>
      </c>
      <c r="J36" s="7" t="s">
        <v>2518</v>
      </c>
      <c r="K36" s="4">
        <v>4.2</v>
      </c>
      <c r="L36" s="4">
        <v>4.2</v>
      </c>
      <c r="M36" s="2" t="s">
        <v>2343</v>
      </c>
      <c r="N36" s="2" t="s">
        <v>2419</v>
      </c>
      <c r="O36" s="2" t="s">
        <v>2950</v>
      </c>
      <c r="P36" s="2" t="s">
        <v>2361</v>
      </c>
      <c r="Q36" s="2"/>
      <c r="R36" s="8" t="str">
        <f>HYPERLINK("http://slimages.macys.com/is/image/MCY/13531740 ")</f>
        <v xml:space="preserve">http://slimages.macys.com/is/image/MCY/13531740 </v>
      </c>
    </row>
    <row r="37" spans="1:18" ht="24.75" x14ac:dyDescent="0.25">
      <c r="A37" s="5" t="s">
        <v>2294</v>
      </c>
      <c r="B37" s="2" t="s">
        <v>2295</v>
      </c>
      <c r="C37" s="3">
        <v>2</v>
      </c>
      <c r="D37" s="4">
        <v>13.35</v>
      </c>
      <c r="E37" s="4">
        <v>26.7</v>
      </c>
      <c r="F37" s="6">
        <v>34.99</v>
      </c>
      <c r="G37" s="4">
        <v>69.98</v>
      </c>
      <c r="H37" s="3" t="s">
        <v>2296</v>
      </c>
      <c r="I37" s="2" t="s">
        <v>3024</v>
      </c>
      <c r="J37" s="7" t="s">
        <v>2382</v>
      </c>
      <c r="K37" s="4">
        <v>4.0049999999999999</v>
      </c>
      <c r="L37" s="4">
        <v>8.01</v>
      </c>
      <c r="M37" s="2" t="s">
        <v>2343</v>
      </c>
      <c r="N37" s="2" t="s">
        <v>2473</v>
      </c>
      <c r="O37" s="2" t="s">
        <v>3013</v>
      </c>
      <c r="P37" s="2" t="s">
        <v>2361</v>
      </c>
      <c r="Q37" s="2" t="s">
        <v>2297</v>
      </c>
      <c r="R37" s="8" t="str">
        <f>HYPERLINK("http://slimages.macys.com/is/image/MCY/10655583 ")</f>
        <v xml:space="preserve">http://slimages.macys.com/is/image/MCY/10655583 </v>
      </c>
    </row>
    <row r="38" spans="1:18" ht="24.75" x14ac:dyDescent="0.25">
      <c r="A38" s="5" t="s">
        <v>2298</v>
      </c>
      <c r="B38" s="2" t="s">
        <v>2299</v>
      </c>
      <c r="C38" s="3">
        <v>3</v>
      </c>
      <c r="D38" s="4">
        <v>13.35</v>
      </c>
      <c r="E38" s="4">
        <v>40.049999999999997</v>
      </c>
      <c r="F38" s="6">
        <v>29.99</v>
      </c>
      <c r="G38" s="4">
        <v>89.97</v>
      </c>
      <c r="H38" s="3" t="s">
        <v>2300</v>
      </c>
      <c r="I38" s="2" t="s">
        <v>3024</v>
      </c>
      <c r="J38" s="7" t="s">
        <v>2382</v>
      </c>
      <c r="K38" s="4">
        <v>4.0049999999999999</v>
      </c>
      <c r="L38" s="4">
        <v>12.015000000000001</v>
      </c>
      <c r="M38" s="2" t="s">
        <v>2343</v>
      </c>
      <c r="N38" s="2" t="s">
        <v>2473</v>
      </c>
      <c r="O38" s="2" t="s">
        <v>3013</v>
      </c>
      <c r="P38" s="2" t="s">
        <v>2361</v>
      </c>
      <c r="Q38" s="2" t="s">
        <v>2377</v>
      </c>
      <c r="R38" s="8" t="str">
        <f>HYPERLINK("http://slimages.macys.com/is/image/MCY/10655583 ")</f>
        <v xml:space="preserve">http://slimages.macys.com/is/image/MCY/10655583 </v>
      </c>
    </row>
    <row r="39" spans="1:18" ht="24.75" x14ac:dyDescent="0.25">
      <c r="A39" s="5" t="s">
        <v>2301</v>
      </c>
      <c r="B39" s="2" t="s">
        <v>2302</v>
      </c>
      <c r="C39" s="3">
        <v>1</v>
      </c>
      <c r="D39" s="4">
        <v>12.33</v>
      </c>
      <c r="E39" s="4">
        <v>12.33</v>
      </c>
      <c r="F39" s="6">
        <v>29.99</v>
      </c>
      <c r="G39" s="4">
        <v>29.99</v>
      </c>
      <c r="H39" s="3" t="s">
        <v>2303</v>
      </c>
      <c r="I39" s="2"/>
      <c r="J39" s="7"/>
      <c r="K39" s="4">
        <v>3.6989999999999998</v>
      </c>
      <c r="L39" s="4">
        <v>3.6989999999999998</v>
      </c>
      <c r="M39" s="2" t="s">
        <v>2343</v>
      </c>
      <c r="N39" s="2" t="s">
        <v>2359</v>
      </c>
      <c r="O39" s="2" t="s">
        <v>2803</v>
      </c>
      <c r="P39" s="2" t="s">
        <v>2361</v>
      </c>
      <c r="Q39" s="2" t="s">
        <v>2377</v>
      </c>
      <c r="R39" s="8" t="str">
        <f>HYPERLINK("http://slimages.macys.com/is/image/MCY/3604482 ")</f>
        <v xml:space="preserve">http://slimages.macys.com/is/image/MCY/3604482 </v>
      </c>
    </row>
    <row r="40" spans="1:18" ht="24.75" x14ac:dyDescent="0.25">
      <c r="A40" s="5" t="s">
        <v>2304</v>
      </c>
      <c r="B40" s="2" t="s">
        <v>2305</v>
      </c>
      <c r="C40" s="3">
        <v>2</v>
      </c>
      <c r="D40" s="4">
        <v>8.93</v>
      </c>
      <c r="E40" s="4">
        <v>17.86</v>
      </c>
      <c r="F40" s="6">
        <v>19.989999999999998</v>
      </c>
      <c r="G40" s="4">
        <v>39.979999999999997</v>
      </c>
      <c r="H40" s="3" t="s">
        <v>2306</v>
      </c>
      <c r="I40" s="2" t="s">
        <v>2374</v>
      </c>
      <c r="J40" s="7"/>
      <c r="K40" s="4">
        <v>3.1255000000000002</v>
      </c>
      <c r="L40" s="4">
        <v>6.2510000000000003</v>
      </c>
      <c r="M40" s="2" t="s">
        <v>2343</v>
      </c>
      <c r="N40" s="2" t="s">
        <v>2419</v>
      </c>
      <c r="O40" s="2" t="s">
        <v>2406</v>
      </c>
      <c r="P40" s="2" t="s">
        <v>2361</v>
      </c>
      <c r="Q40" s="2"/>
      <c r="R40" s="8" t="str">
        <f>HYPERLINK("http://slimages.macys.com/is/image/MCY/10015442 ")</f>
        <v xml:space="preserve">http://slimages.macys.com/is/image/MCY/10015442 </v>
      </c>
    </row>
    <row r="41" spans="1:18" ht="24.75" x14ac:dyDescent="0.25">
      <c r="A41" s="5" t="s">
        <v>2307</v>
      </c>
      <c r="B41" s="2" t="s">
        <v>2308</v>
      </c>
      <c r="C41" s="3">
        <v>1</v>
      </c>
      <c r="D41" s="4">
        <v>6.96</v>
      </c>
      <c r="E41" s="4">
        <v>6.96</v>
      </c>
      <c r="F41" s="6">
        <v>19.989999999999998</v>
      </c>
      <c r="G41" s="4">
        <v>19.989999999999998</v>
      </c>
      <c r="H41" s="3" t="s">
        <v>2309</v>
      </c>
      <c r="I41" s="2" t="s">
        <v>2374</v>
      </c>
      <c r="J41" s="7"/>
      <c r="K41" s="4">
        <v>2.0880000000000001</v>
      </c>
      <c r="L41" s="4">
        <v>2.0880000000000001</v>
      </c>
      <c r="M41" s="2" t="s">
        <v>2343</v>
      </c>
      <c r="N41" s="2" t="s">
        <v>2984</v>
      </c>
      <c r="O41" s="2" t="s">
        <v>3250</v>
      </c>
      <c r="P41" s="2" t="s">
        <v>2361</v>
      </c>
      <c r="Q41" s="2" t="s">
        <v>2397</v>
      </c>
      <c r="R41" s="8" t="str">
        <f>HYPERLINK("http://slimages.macys.com/is/image/MCY/9161407 ")</f>
        <v xml:space="preserve">http://slimages.macys.com/is/image/MCY/9161407 </v>
      </c>
    </row>
    <row r="42" spans="1:18" ht="36.75" x14ac:dyDescent="0.25">
      <c r="A42" s="5" t="s">
        <v>2310</v>
      </c>
      <c r="B42" s="2" t="s">
        <v>2311</v>
      </c>
      <c r="C42" s="3">
        <v>1</v>
      </c>
      <c r="D42" s="4">
        <v>5.07</v>
      </c>
      <c r="E42" s="4">
        <v>5.07</v>
      </c>
      <c r="F42" s="6">
        <v>15.99</v>
      </c>
      <c r="G42" s="4">
        <v>15.99</v>
      </c>
      <c r="H42" s="3" t="s">
        <v>2312</v>
      </c>
      <c r="I42" s="2" t="s">
        <v>2374</v>
      </c>
      <c r="J42" s="7"/>
      <c r="K42" s="4">
        <v>1.7745</v>
      </c>
      <c r="L42" s="4">
        <v>1.7745</v>
      </c>
      <c r="M42" s="2" t="s">
        <v>2343</v>
      </c>
      <c r="N42" s="2" t="s">
        <v>2412</v>
      </c>
      <c r="O42" s="2" t="s">
        <v>3401</v>
      </c>
      <c r="P42" s="2" t="s">
        <v>2467</v>
      </c>
      <c r="Q42" s="2" t="s">
        <v>2313</v>
      </c>
      <c r="R42" s="8" t="str">
        <f>HYPERLINK("http://slimages.macys.com/is/image/MCY/8152899 ")</f>
        <v xml:space="preserve">http://slimages.macys.com/is/image/MCY/8152899 </v>
      </c>
    </row>
    <row r="43" spans="1:18" ht="24.75" x14ac:dyDescent="0.25">
      <c r="A43" s="5" t="s">
        <v>2314</v>
      </c>
      <c r="B43" s="2" t="s">
        <v>2315</v>
      </c>
      <c r="C43" s="3">
        <v>1</v>
      </c>
      <c r="D43" s="4">
        <v>2.25</v>
      </c>
      <c r="E43" s="4">
        <v>2.25</v>
      </c>
      <c r="F43" s="6">
        <v>3.99</v>
      </c>
      <c r="G43" s="4">
        <v>3.99</v>
      </c>
      <c r="H43" s="3">
        <v>1630913</v>
      </c>
      <c r="I43" s="2" t="s">
        <v>2374</v>
      </c>
      <c r="J43" s="7"/>
      <c r="K43" s="4">
        <v>0.78749999999999998</v>
      </c>
      <c r="L43" s="4">
        <v>0.78749999999999998</v>
      </c>
      <c r="M43" s="2" t="s">
        <v>2343</v>
      </c>
      <c r="N43" s="2" t="s">
        <v>2412</v>
      </c>
      <c r="O43" s="2" t="s">
        <v>2558</v>
      </c>
      <c r="P43" s="2" t="s">
        <v>2467</v>
      </c>
      <c r="Q43" s="2" t="s">
        <v>2523</v>
      </c>
      <c r="R43" s="8" t="str">
        <f>HYPERLINK("http://slimages.macys.com/is/image/MCY/3844990 ")</f>
        <v xml:space="preserve">http://slimages.macys.com/is/image/MCY/3844990 </v>
      </c>
    </row>
    <row r="44" spans="1:18" ht="24.75" x14ac:dyDescent="0.25">
      <c r="A44" s="5" t="s">
        <v>2316</v>
      </c>
      <c r="B44" s="2" t="s">
        <v>2317</v>
      </c>
      <c r="C44" s="3">
        <v>1</v>
      </c>
      <c r="D44" s="4">
        <v>6.22</v>
      </c>
      <c r="E44" s="4">
        <v>6.22</v>
      </c>
      <c r="F44" s="6">
        <v>12.99</v>
      </c>
      <c r="G44" s="4">
        <v>12.99</v>
      </c>
      <c r="H44" s="3" t="s">
        <v>2318</v>
      </c>
      <c r="I44" s="2" t="s">
        <v>2374</v>
      </c>
      <c r="J44" s="7"/>
      <c r="K44" s="4">
        <v>2.177</v>
      </c>
      <c r="L44" s="4">
        <v>2.177</v>
      </c>
      <c r="M44" s="2" t="s">
        <v>2343</v>
      </c>
      <c r="N44" s="2" t="s">
        <v>2412</v>
      </c>
      <c r="O44" s="2" t="s">
        <v>2562</v>
      </c>
      <c r="P44" s="2"/>
      <c r="Q44" s="2"/>
      <c r="R44" s="8"/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30" customHeight="1" x14ac:dyDescent="0.25"/>
  <cols>
    <col min="1" max="1" width="14.28515625" customWidth="1"/>
    <col min="2" max="2" width="49.710937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2319</v>
      </c>
      <c r="B2" s="2" t="s">
        <v>2320</v>
      </c>
      <c r="C2" s="3">
        <v>1</v>
      </c>
      <c r="D2" s="6">
        <v>190.99</v>
      </c>
      <c r="E2" s="3" t="s">
        <v>2321</v>
      </c>
      <c r="F2" s="2" t="s">
        <v>2458</v>
      </c>
      <c r="G2" s="7" t="s">
        <v>2322</v>
      </c>
      <c r="H2" s="2" t="s">
        <v>2419</v>
      </c>
      <c r="I2" s="2" t="s">
        <v>3329</v>
      </c>
      <c r="J2" s="2" t="s">
        <v>2361</v>
      </c>
      <c r="K2" s="2" t="s">
        <v>2323</v>
      </c>
      <c r="L2" s="8" t="str">
        <f>HYPERLINK("http://slimages.macys.com/is/image/MCY/15527337 ")</f>
        <v xml:space="preserve">http://slimages.macys.com/is/image/MCY/15527337 </v>
      </c>
    </row>
    <row r="3" spans="1:12" ht="30" customHeight="1" x14ac:dyDescent="0.25">
      <c r="A3" s="5" t="s">
        <v>2324</v>
      </c>
      <c r="B3" s="2" t="s">
        <v>2325</v>
      </c>
      <c r="C3" s="3">
        <v>1</v>
      </c>
      <c r="D3" s="6">
        <v>249.99</v>
      </c>
      <c r="E3" s="3" t="s">
        <v>2326</v>
      </c>
      <c r="F3" s="2" t="s">
        <v>2440</v>
      </c>
      <c r="G3" s="7"/>
      <c r="H3" s="2" t="s">
        <v>2359</v>
      </c>
      <c r="I3" s="2" t="s">
        <v>2406</v>
      </c>
      <c r="J3" s="2" t="s">
        <v>2361</v>
      </c>
      <c r="K3" s="2" t="s">
        <v>2327</v>
      </c>
      <c r="L3" s="8" t="str">
        <f>HYPERLINK("http://slimages.macys.com/is/image/MCY/12491071 ")</f>
        <v xml:space="preserve">http://slimages.macys.com/is/image/MCY/12491071 </v>
      </c>
    </row>
    <row r="4" spans="1:12" ht="30" customHeight="1" x14ac:dyDescent="0.25">
      <c r="A4" s="5" t="s">
        <v>2328</v>
      </c>
      <c r="B4" s="2" t="s">
        <v>2329</v>
      </c>
      <c r="C4" s="3">
        <v>1</v>
      </c>
      <c r="D4" s="6">
        <v>78.11</v>
      </c>
      <c r="E4" s="3" t="s">
        <v>2330</v>
      </c>
      <c r="F4" s="2" t="s">
        <v>2597</v>
      </c>
      <c r="G4" s="7"/>
      <c r="H4" s="2" t="s">
        <v>2419</v>
      </c>
      <c r="I4" s="2" t="s">
        <v>2611</v>
      </c>
      <c r="J4" s="2" t="s">
        <v>2361</v>
      </c>
      <c r="K4" s="2" t="s">
        <v>1774</v>
      </c>
      <c r="L4" s="8" t="str">
        <f>HYPERLINK("http://slimages.macys.com/is/image/MCY/840673 ")</f>
        <v xml:space="preserve">http://slimages.macys.com/is/image/MCY/840673 </v>
      </c>
    </row>
    <row r="5" spans="1:12" ht="30" customHeight="1" x14ac:dyDescent="0.25">
      <c r="A5" s="5" t="s">
        <v>2331</v>
      </c>
      <c r="B5" s="2" t="s">
        <v>2332</v>
      </c>
      <c r="C5" s="3">
        <v>1</v>
      </c>
      <c r="D5" s="6">
        <v>159.99</v>
      </c>
      <c r="E5" s="3" t="s">
        <v>2333</v>
      </c>
      <c r="F5" s="2" t="s">
        <v>2440</v>
      </c>
      <c r="G5" s="7"/>
      <c r="H5" s="2" t="s">
        <v>2359</v>
      </c>
      <c r="I5" s="2" t="s">
        <v>2406</v>
      </c>
      <c r="J5" s="2" t="s">
        <v>2361</v>
      </c>
      <c r="K5" s="2" t="s">
        <v>1351</v>
      </c>
      <c r="L5" s="8" t="str">
        <f>HYPERLINK("http://slimages.macys.com/is/image/MCY/9798716 ")</f>
        <v xml:space="preserve">http://slimages.macys.com/is/image/MCY/9798716 </v>
      </c>
    </row>
    <row r="6" spans="1:12" ht="30" customHeight="1" x14ac:dyDescent="0.25">
      <c r="A6" s="5" t="s">
        <v>2334</v>
      </c>
      <c r="B6" s="2" t="s">
        <v>2335</v>
      </c>
      <c r="C6" s="3">
        <v>1</v>
      </c>
      <c r="D6" s="6">
        <v>179.99</v>
      </c>
      <c r="E6" s="3" t="s">
        <v>2336</v>
      </c>
      <c r="F6" s="2" t="s">
        <v>2381</v>
      </c>
      <c r="G6" s="7"/>
      <c r="H6" s="2" t="s">
        <v>2359</v>
      </c>
      <c r="I6" s="2" t="s">
        <v>2406</v>
      </c>
      <c r="J6" s="2" t="s">
        <v>2361</v>
      </c>
      <c r="K6" s="2" t="s">
        <v>4</v>
      </c>
      <c r="L6" s="8" t="str">
        <f>HYPERLINK("http://slimages.macys.com/is/image/MCY/9627774 ")</f>
        <v xml:space="preserve">http://slimages.macys.com/is/image/MCY/9627774 </v>
      </c>
    </row>
    <row r="7" spans="1:12" ht="30" customHeight="1" x14ac:dyDescent="0.25">
      <c r="A7" s="5" t="s">
        <v>5</v>
      </c>
      <c r="B7" s="2" t="s">
        <v>6</v>
      </c>
      <c r="C7" s="3">
        <v>1</v>
      </c>
      <c r="D7" s="6">
        <v>114.99</v>
      </c>
      <c r="E7" s="3" t="s">
        <v>7</v>
      </c>
      <c r="F7" s="2" t="s">
        <v>2949</v>
      </c>
      <c r="G7" s="7" t="s">
        <v>2382</v>
      </c>
      <c r="H7" s="2" t="s">
        <v>2419</v>
      </c>
      <c r="I7" s="2" t="s">
        <v>8</v>
      </c>
      <c r="J7" s="2" t="s">
        <v>2361</v>
      </c>
      <c r="K7" s="2" t="s">
        <v>2656</v>
      </c>
      <c r="L7" s="8" t="str">
        <f>HYPERLINK("http://slimages.macys.com/is/image/MCY/13420794 ")</f>
        <v xml:space="preserve">http://slimages.macys.com/is/image/MCY/13420794 </v>
      </c>
    </row>
    <row r="8" spans="1:12" ht="30" customHeight="1" x14ac:dyDescent="0.25">
      <c r="A8" s="5" t="s">
        <v>9</v>
      </c>
      <c r="B8" s="2" t="s">
        <v>10</v>
      </c>
      <c r="C8" s="3">
        <v>1</v>
      </c>
      <c r="D8" s="6">
        <v>119.99</v>
      </c>
      <c r="E8" s="3" t="s">
        <v>11</v>
      </c>
      <c r="F8" s="2" t="s">
        <v>2622</v>
      </c>
      <c r="G8" s="7"/>
      <c r="H8" s="2" t="s">
        <v>2359</v>
      </c>
      <c r="I8" s="2" t="s">
        <v>2406</v>
      </c>
      <c r="J8" s="2" t="s">
        <v>2361</v>
      </c>
      <c r="K8" s="2" t="s">
        <v>12</v>
      </c>
      <c r="L8" s="8" t="str">
        <f>HYPERLINK("http://slimages.macys.com/is/image/MCY/9627777 ")</f>
        <v xml:space="preserve">http://slimages.macys.com/is/image/MCY/9627777 </v>
      </c>
    </row>
    <row r="9" spans="1:12" ht="30" customHeight="1" x14ac:dyDescent="0.25">
      <c r="A9" s="5" t="s">
        <v>13</v>
      </c>
      <c r="B9" s="2" t="s">
        <v>14</v>
      </c>
      <c r="C9" s="3">
        <v>1</v>
      </c>
      <c r="D9" s="6">
        <v>84.99</v>
      </c>
      <c r="E9" s="3" t="s">
        <v>15</v>
      </c>
      <c r="F9" s="2" t="s">
        <v>2394</v>
      </c>
      <c r="G9" s="7"/>
      <c r="H9" s="2" t="s">
        <v>2419</v>
      </c>
      <c r="I9" s="2" t="s">
        <v>2406</v>
      </c>
      <c r="J9" s="2" t="s">
        <v>2361</v>
      </c>
      <c r="K9" s="2" t="s">
        <v>3165</v>
      </c>
      <c r="L9" s="8" t="str">
        <f>HYPERLINK("http://slimages.macys.com/is/image/MCY/9775061 ")</f>
        <v xml:space="preserve">http://slimages.macys.com/is/image/MCY/9775061 </v>
      </c>
    </row>
    <row r="10" spans="1:12" ht="30" customHeight="1" x14ac:dyDescent="0.25">
      <c r="A10" s="5" t="s">
        <v>16</v>
      </c>
      <c r="B10" s="2" t="s">
        <v>17</v>
      </c>
      <c r="C10" s="3">
        <v>1</v>
      </c>
      <c r="D10" s="6">
        <v>109.99</v>
      </c>
      <c r="E10" s="3" t="s">
        <v>18</v>
      </c>
      <c r="F10" s="2" t="s">
        <v>2440</v>
      </c>
      <c r="G10" s="7"/>
      <c r="H10" s="2" t="s">
        <v>2359</v>
      </c>
      <c r="I10" s="2" t="s">
        <v>2406</v>
      </c>
      <c r="J10" s="2" t="s">
        <v>2361</v>
      </c>
      <c r="K10" s="2" t="s">
        <v>19</v>
      </c>
      <c r="L10" s="8" t="str">
        <f>HYPERLINK("http://slimages.macys.com/is/image/MCY/9627900 ")</f>
        <v xml:space="preserve">http://slimages.macys.com/is/image/MCY/9627900 </v>
      </c>
    </row>
    <row r="11" spans="1:12" ht="30" customHeight="1" x14ac:dyDescent="0.25">
      <c r="A11" s="5" t="s">
        <v>1854</v>
      </c>
      <c r="B11" s="2" t="s">
        <v>20</v>
      </c>
      <c r="C11" s="3">
        <v>1</v>
      </c>
      <c r="D11" s="6">
        <v>84.99</v>
      </c>
      <c r="E11" s="3" t="s">
        <v>1856</v>
      </c>
      <c r="F11" s="2" t="s">
        <v>2374</v>
      </c>
      <c r="G11" s="7"/>
      <c r="H11" s="2" t="s">
        <v>2359</v>
      </c>
      <c r="I11" s="2" t="s">
        <v>2406</v>
      </c>
      <c r="J11" s="2" t="s">
        <v>2361</v>
      </c>
      <c r="K11" s="2" t="s">
        <v>2623</v>
      </c>
      <c r="L11" s="8" t="str">
        <f>HYPERLINK("http://slimages.macys.com/is/image/MCY/9798713 ")</f>
        <v xml:space="preserve">http://slimages.macys.com/is/image/MCY/9798713 </v>
      </c>
    </row>
    <row r="12" spans="1:12" ht="30" customHeight="1" x14ac:dyDescent="0.25">
      <c r="A12" s="5" t="s">
        <v>21</v>
      </c>
      <c r="B12" s="2" t="s">
        <v>22</v>
      </c>
      <c r="C12" s="3">
        <v>1</v>
      </c>
      <c r="D12" s="6">
        <v>87.99</v>
      </c>
      <c r="E12" s="3" t="s">
        <v>23</v>
      </c>
      <c r="F12" s="2" t="s">
        <v>2374</v>
      </c>
      <c r="G12" s="7"/>
      <c r="H12" s="2" t="s">
        <v>2419</v>
      </c>
      <c r="I12" s="2" t="s">
        <v>2583</v>
      </c>
      <c r="J12" s="2" t="s">
        <v>2361</v>
      </c>
      <c r="K12" s="2" t="s">
        <v>2377</v>
      </c>
      <c r="L12" s="8" t="str">
        <f>HYPERLINK("http://slimages.macys.com/is/image/MCY/15423080 ")</f>
        <v xml:space="preserve">http://slimages.macys.com/is/image/MCY/15423080 </v>
      </c>
    </row>
    <row r="13" spans="1:12" ht="30" customHeight="1" x14ac:dyDescent="0.25">
      <c r="A13" s="5" t="s">
        <v>24</v>
      </c>
      <c r="B13" s="2" t="s">
        <v>25</v>
      </c>
      <c r="C13" s="3">
        <v>1</v>
      </c>
      <c r="D13" s="6">
        <v>72.989999999999995</v>
      </c>
      <c r="E13" s="3" t="s">
        <v>26</v>
      </c>
      <c r="F13" s="2" t="s">
        <v>2374</v>
      </c>
      <c r="G13" s="7"/>
      <c r="H13" s="2" t="s">
        <v>2419</v>
      </c>
      <c r="I13" s="2" t="s">
        <v>3329</v>
      </c>
      <c r="J13" s="2" t="s">
        <v>2361</v>
      </c>
      <c r="K13" s="2" t="s">
        <v>2377</v>
      </c>
      <c r="L13" s="8" t="str">
        <f>HYPERLINK("http://slimages.macys.com/is/image/MCY/12211152 ")</f>
        <v xml:space="preserve">http://slimages.macys.com/is/image/MCY/12211152 </v>
      </c>
    </row>
    <row r="14" spans="1:12" ht="30" customHeight="1" x14ac:dyDescent="0.25">
      <c r="A14" s="5" t="s">
        <v>27</v>
      </c>
      <c r="B14" s="2" t="s">
        <v>28</v>
      </c>
      <c r="C14" s="3">
        <v>2</v>
      </c>
      <c r="D14" s="6">
        <v>67.989999999999995</v>
      </c>
      <c r="E14" s="3" t="s">
        <v>29</v>
      </c>
      <c r="F14" s="2" t="s">
        <v>2374</v>
      </c>
      <c r="G14" s="7"/>
      <c r="H14" s="2" t="s">
        <v>2419</v>
      </c>
      <c r="I14" s="2" t="s">
        <v>3032</v>
      </c>
      <c r="J14" s="2" t="s">
        <v>2361</v>
      </c>
      <c r="K14" s="2" t="s">
        <v>2377</v>
      </c>
      <c r="L14" s="8" t="str">
        <f>HYPERLINK("http://slimages.macys.com/is/image/MCY/13062977 ")</f>
        <v xml:space="preserve">http://slimages.macys.com/is/image/MCY/13062977 </v>
      </c>
    </row>
    <row r="15" spans="1:12" ht="30" customHeight="1" x14ac:dyDescent="0.25">
      <c r="A15" s="5" t="s">
        <v>30</v>
      </c>
      <c r="B15" s="2" t="s">
        <v>31</v>
      </c>
      <c r="C15" s="3">
        <v>1</v>
      </c>
      <c r="D15" s="6">
        <v>59.99</v>
      </c>
      <c r="E15" s="3" t="s">
        <v>32</v>
      </c>
      <c r="F15" s="2" t="s">
        <v>2768</v>
      </c>
      <c r="G15" s="7"/>
      <c r="H15" s="2" t="s">
        <v>2359</v>
      </c>
      <c r="I15" s="2" t="s">
        <v>2406</v>
      </c>
      <c r="J15" s="2" t="s">
        <v>2361</v>
      </c>
      <c r="K15" s="2" t="s">
        <v>2623</v>
      </c>
      <c r="L15" s="8" t="str">
        <f>HYPERLINK("http://slimages.macys.com/is/image/MCY/9812356 ")</f>
        <v xml:space="preserve">http://slimages.macys.com/is/image/MCY/9812356 </v>
      </c>
    </row>
    <row r="16" spans="1:12" ht="30" customHeight="1" x14ac:dyDescent="0.25">
      <c r="A16" s="5" t="s">
        <v>33</v>
      </c>
      <c r="B16" s="2" t="s">
        <v>34</v>
      </c>
      <c r="C16" s="3">
        <v>1</v>
      </c>
      <c r="D16" s="6">
        <v>62.99</v>
      </c>
      <c r="E16" s="3" t="s">
        <v>35</v>
      </c>
      <c r="F16" s="2" t="s">
        <v>2622</v>
      </c>
      <c r="G16" s="7"/>
      <c r="H16" s="2" t="s">
        <v>2359</v>
      </c>
      <c r="I16" s="2" t="s">
        <v>2803</v>
      </c>
      <c r="J16" s="2" t="s">
        <v>2361</v>
      </c>
      <c r="K16" s="2" t="s">
        <v>2091</v>
      </c>
      <c r="L16" s="8" t="str">
        <f>HYPERLINK("http://slimages.macys.com/is/image/MCY/10005647 ")</f>
        <v xml:space="preserve">http://slimages.macys.com/is/image/MCY/10005647 </v>
      </c>
    </row>
    <row r="17" spans="1:12" ht="30" customHeight="1" x14ac:dyDescent="0.25">
      <c r="A17" s="5" t="s">
        <v>36</v>
      </c>
      <c r="B17" s="2" t="s">
        <v>37</v>
      </c>
      <c r="C17" s="3">
        <v>1</v>
      </c>
      <c r="D17" s="6">
        <v>55.99</v>
      </c>
      <c r="E17" s="3" t="s">
        <v>38</v>
      </c>
      <c r="F17" s="2" t="s">
        <v>2622</v>
      </c>
      <c r="G17" s="7"/>
      <c r="H17" s="2" t="s">
        <v>2359</v>
      </c>
      <c r="I17" s="2" t="s">
        <v>2803</v>
      </c>
      <c r="J17" s="2" t="s">
        <v>2361</v>
      </c>
      <c r="K17" s="2" t="s">
        <v>39</v>
      </c>
      <c r="L17" s="8" t="str">
        <f>HYPERLINK("http://slimages.macys.com/is/image/MCY/10005667 ")</f>
        <v xml:space="preserve">http://slimages.macys.com/is/image/MCY/10005667 </v>
      </c>
    </row>
    <row r="18" spans="1:12" ht="30" customHeight="1" x14ac:dyDescent="0.25">
      <c r="A18" s="5" t="s">
        <v>40</v>
      </c>
      <c r="B18" s="2" t="s">
        <v>41</v>
      </c>
      <c r="C18" s="3">
        <v>3</v>
      </c>
      <c r="D18" s="6">
        <v>16.989999999999998</v>
      </c>
      <c r="E18" s="3" t="s">
        <v>42</v>
      </c>
      <c r="F18" s="2" t="s">
        <v>2592</v>
      </c>
      <c r="G18" s="7"/>
      <c r="H18" s="2" t="s">
        <v>2419</v>
      </c>
      <c r="I18" s="2" t="s">
        <v>3071</v>
      </c>
      <c r="J18" s="2" t="s">
        <v>2361</v>
      </c>
      <c r="K18" s="2" t="s">
        <v>2377</v>
      </c>
      <c r="L18" s="8" t="str">
        <f>HYPERLINK("http://slimages.macys.com/is/image/MCY/1508195 ")</f>
        <v xml:space="preserve">http://slimages.macys.com/is/image/MCY/1508195 </v>
      </c>
    </row>
    <row r="19" spans="1:12" ht="30" customHeight="1" x14ac:dyDescent="0.25">
      <c r="A19" s="5" t="s">
        <v>43</v>
      </c>
      <c r="B19" s="2" t="s">
        <v>44</v>
      </c>
      <c r="C19" s="3">
        <v>1</v>
      </c>
      <c r="D19" s="6">
        <v>52.99</v>
      </c>
      <c r="E19" s="3" t="s">
        <v>45</v>
      </c>
      <c r="F19" s="2" t="s">
        <v>2366</v>
      </c>
      <c r="G19" s="7" t="s">
        <v>2382</v>
      </c>
      <c r="H19" s="2" t="s">
        <v>2359</v>
      </c>
      <c r="I19" s="2" t="s">
        <v>46</v>
      </c>
      <c r="J19" s="2" t="s">
        <v>2361</v>
      </c>
      <c r="K19" s="2" t="s">
        <v>2377</v>
      </c>
      <c r="L19" s="8" t="str">
        <f>HYPERLINK("http://slimages.macys.com/is/image/MCY/14748431 ")</f>
        <v xml:space="preserve">http://slimages.macys.com/is/image/MCY/14748431 </v>
      </c>
    </row>
    <row r="20" spans="1:12" ht="30" customHeight="1" x14ac:dyDescent="0.25">
      <c r="A20" s="5" t="s">
        <v>47</v>
      </c>
      <c r="B20" s="2" t="s">
        <v>48</v>
      </c>
      <c r="C20" s="3">
        <v>1</v>
      </c>
      <c r="D20" s="6">
        <v>35.99</v>
      </c>
      <c r="E20" s="3" t="s">
        <v>49</v>
      </c>
      <c r="F20" s="2" t="s">
        <v>2394</v>
      </c>
      <c r="G20" s="7"/>
      <c r="H20" s="2" t="s">
        <v>2419</v>
      </c>
      <c r="I20" s="2" t="s">
        <v>3071</v>
      </c>
      <c r="J20" s="2" t="s">
        <v>2361</v>
      </c>
      <c r="K20" s="2" t="s">
        <v>50</v>
      </c>
      <c r="L20" s="8" t="str">
        <f>HYPERLINK("http://slimages.macys.com/is/image/MCY/3675413 ")</f>
        <v xml:space="preserve">http://slimages.macys.com/is/image/MCY/3675413 </v>
      </c>
    </row>
    <row r="21" spans="1:12" ht="30" customHeight="1" x14ac:dyDescent="0.25">
      <c r="A21" s="5" t="s">
        <v>51</v>
      </c>
      <c r="B21" s="2" t="s">
        <v>52</v>
      </c>
      <c r="C21" s="3">
        <v>4</v>
      </c>
      <c r="D21" s="6">
        <v>38.99</v>
      </c>
      <c r="E21" s="3" t="s">
        <v>53</v>
      </c>
      <c r="F21" s="2"/>
      <c r="G21" s="7"/>
      <c r="H21" s="2" t="s">
        <v>2359</v>
      </c>
      <c r="I21" s="2" t="s">
        <v>2383</v>
      </c>
      <c r="J21" s="2" t="s">
        <v>2361</v>
      </c>
      <c r="K21" s="2" t="s">
        <v>1061</v>
      </c>
      <c r="L21" s="8" t="str">
        <f>HYPERLINK("http://slimages.macys.com/is/image/MCY/14325678 ")</f>
        <v xml:space="preserve">http://slimages.macys.com/is/image/MCY/14325678 </v>
      </c>
    </row>
    <row r="22" spans="1:12" ht="30" customHeight="1" x14ac:dyDescent="0.25">
      <c r="A22" s="5" t="s">
        <v>54</v>
      </c>
      <c r="B22" s="2" t="s">
        <v>55</v>
      </c>
      <c r="C22" s="3">
        <v>1</v>
      </c>
      <c r="D22" s="6">
        <v>27.99</v>
      </c>
      <c r="E22" s="3" t="s">
        <v>56</v>
      </c>
      <c r="F22" s="2" t="s">
        <v>2440</v>
      </c>
      <c r="G22" s="7"/>
      <c r="H22" s="2" t="s">
        <v>2419</v>
      </c>
      <c r="I22" s="2" t="s">
        <v>2406</v>
      </c>
      <c r="J22" s="2" t="s">
        <v>2361</v>
      </c>
      <c r="K22" s="2" t="s">
        <v>2134</v>
      </c>
      <c r="L22" s="8" t="str">
        <f>HYPERLINK("http://slimages.macys.com/is/image/MCY/9614138 ")</f>
        <v xml:space="preserve">http://slimages.macys.com/is/image/MCY/9614138 </v>
      </c>
    </row>
    <row r="23" spans="1:12" ht="30" customHeight="1" x14ac:dyDescent="0.25">
      <c r="A23" s="5" t="s">
        <v>57</v>
      </c>
      <c r="B23" s="2" t="s">
        <v>58</v>
      </c>
      <c r="C23" s="3">
        <v>1</v>
      </c>
      <c r="D23" s="6">
        <v>69.989999999999995</v>
      </c>
      <c r="E23" s="3" t="s">
        <v>59</v>
      </c>
      <c r="F23" s="2" t="s">
        <v>2374</v>
      </c>
      <c r="G23" s="7"/>
      <c r="H23" s="2" t="s">
        <v>2388</v>
      </c>
      <c r="I23" s="2" t="s">
        <v>2425</v>
      </c>
      <c r="J23" s="2" t="s">
        <v>2361</v>
      </c>
      <c r="K23" s="2" t="s">
        <v>2098</v>
      </c>
      <c r="L23" s="8" t="str">
        <f>HYPERLINK("http://slimages.macys.com/is/image/MCY/9353025 ")</f>
        <v xml:space="preserve">http://slimages.macys.com/is/image/MCY/9353025 </v>
      </c>
    </row>
    <row r="24" spans="1:12" ht="30" customHeight="1" x14ac:dyDescent="0.25">
      <c r="A24" s="5" t="s">
        <v>60</v>
      </c>
      <c r="B24" s="2" t="s">
        <v>61</v>
      </c>
      <c r="C24" s="3">
        <v>1</v>
      </c>
      <c r="D24" s="6">
        <v>29.99</v>
      </c>
      <c r="E24" s="3" t="s">
        <v>62</v>
      </c>
      <c r="F24" s="2" t="s">
        <v>2394</v>
      </c>
      <c r="G24" s="7" t="s">
        <v>63</v>
      </c>
      <c r="H24" s="2" t="s">
        <v>2419</v>
      </c>
      <c r="I24" s="2" t="s">
        <v>2139</v>
      </c>
      <c r="J24" s="2" t="s">
        <v>2361</v>
      </c>
      <c r="K24" s="2" t="s">
        <v>2377</v>
      </c>
      <c r="L24" s="8" t="str">
        <f>HYPERLINK("http://slimages.macys.com/is/image/MCY/1739041 ")</f>
        <v xml:space="preserve">http://slimages.macys.com/is/image/MCY/1739041 </v>
      </c>
    </row>
    <row r="25" spans="1:12" ht="30" customHeight="1" x14ac:dyDescent="0.25">
      <c r="A25" s="5" t="s">
        <v>64</v>
      </c>
      <c r="B25" s="2" t="s">
        <v>65</v>
      </c>
      <c r="C25" s="3">
        <v>1</v>
      </c>
      <c r="D25" s="6">
        <v>24.99</v>
      </c>
      <c r="E25" s="3" t="s">
        <v>66</v>
      </c>
      <c r="F25" s="2" t="s">
        <v>2488</v>
      </c>
      <c r="G25" s="7"/>
      <c r="H25" s="2" t="s">
        <v>2459</v>
      </c>
      <c r="I25" s="2" t="s">
        <v>2406</v>
      </c>
      <c r="J25" s="2" t="s">
        <v>2432</v>
      </c>
      <c r="K25" s="2" t="s">
        <v>2866</v>
      </c>
      <c r="L25" s="8" t="str">
        <f>HYPERLINK("http://slimages.macys.com/is/image/MCY/10243927 ")</f>
        <v xml:space="preserve">http://slimages.macys.com/is/image/MCY/10243927 </v>
      </c>
    </row>
    <row r="26" spans="1:12" ht="30" customHeight="1" x14ac:dyDescent="0.25">
      <c r="A26" s="5" t="s">
        <v>67</v>
      </c>
      <c r="B26" s="2" t="s">
        <v>68</v>
      </c>
      <c r="C26" s="3">
        <v>1</v>
      </c>
      <c r="D26" s="6">
        <v>24.99</v>
      </c>
      <c r="E26" s="3">
        <v>1002472000</v>
      </c>
      <c r="F26" s="2" t="s">
        <v>2381</v>
      </c>
      <c r="G26" s="7"/>
      <c r="H26" s="2" t="s">
        <v>2815</v>
      </c>
      <c r="I26" s="2" t="s">
        <v>1418</v>
      </c>
      <c r="J26" s="2" t="s">
        <v>2361</v>
      </c>
      <c r="K26" s="2" t="s">
        <v>2377</v>
      </c>
      <c r="L26" s="8" t="str">
        <f>HYPERLINK("http://slimages.macys.com/is/image/MCY/9972773 ")</f>
        <v xml:space="preserve">http://slimages.macys.com/is/image/MCY/9972773 </v>
      </c>
    </row>
    <row r="27" spans="1:12" ht="30" customHeight="1" x14ac:dyDescent="0.25">
      <c r="A27" s="5" t="s">
        <v>69</v>
      </c>
      <c r="B27" s="2" t="s">
        <v>70</v>
      </c>
      <c r="C27" s="3">
        <v>1</v>
      </c>
      <c r="D27" s="6">
        <v>32.99</v>
      </c>
      <c r="E27" s="3" t="s">
        <v>71</v>
      </c>
      <c r="F27" s="2" t="s">
        <v>2440</v>
      </c>
      <c r="G27" s="7"/>
      <c r="H27" s="2" t="s">
        <v>2419</v>
      </c>
      <c r="I27" s="2" t="s">
        <v>2850</v>
      </c>
      <c r="J27" s="2" t="s">
        <v>2361</v>
      </c>
      <c r="K27" s="2" t="s">
        <v>2656</v>
      </c>
      <c r="L27" s="8" t="str">
        <f>HYPERLINK("http://slimages.macys.com/is/image/MCY/11685179 ")</f>
        <v xml:space="preserve">http://slimages.macys.com/is/image/MCY/11685179 </v>
      </c>
    </row>
    <row r="28" spans="1:12" ht="30" customHeight="1" x14ac:dyDescent="0.25">
      <c r="A28" s="5" t="s">
        <v>72</v>
      </c>
      <c r="B28" s="2" t="s">
        <v>73</v>
      </c>
      <c r="C28" s="3">
        <v>1</v>
      </c>
      <c r="D28" s="6">
        <v>24.99</v>
      </c>
      <c r="E28" s="3">
        <v>18233</v>
      </c>
      <c r="F28" s="2"/>
      <c r="G28" s="7"/>
      <c r="H28" s="2" t="s">
        <v>2459</v>
      </c>
      <c r="I28" s="2" t="s">
        <v>2807</v>
      </c>
      <c r="J28" s="2" t="s">
        <v>2361</v>
      </c>
      <c r="K28" s="2" t="s">
        <v>74</v>
      </c>
      <c r="L28" s="8" t="str">
        <f>HYPERLINK("http://slimages.macys.com/is/image/MCY/8330264 ")</f>
        <v xml:space="preserve">http://slimages.macys.com/is/image/MCY/8330264 </v>
      </c>
    </row>
    <row r="29" spans="1:12" ht="30" customHeight="1" x14ac:dyDescent="0.25">
      <c r="A29" s="5" t="s">
        <v>75</v>
      </c>
      <c r="B29" s="2" t="s">
        <v>76</v>
      </c>
      <c r="C29" s="3">
        <v>1</v>
      </c>
      <c r="D29" s="6">
        <v>19.989999999999998</v>
      </c>
      <c r="E29" s="3" t="s">
        <v>77</v>
      </c>
      <c r="F29" s="2" t="s">
        <v>2381</v>
      </c>
      <c r="G29" s="7"/>
      <c r="H29" s="2" t="s">
        <v>2459</v>
      </c>
      <c r="I29" s="2" t="s">
        <v>2447</v>
      </c>
      <c r="J29" s="2" t="s">
        <v>2361</v>
      </c>
      <c r="K29" s="2" t="s">
        <v>78</v>
      </c>
      <c r="L29" s="8" t="str">
        <f>HYPERLINK("http://slimages.macys.com/is/image/MCY/9960994 ")</f>
        <v xml:space="preserve">http://slimages.macys.com/is/image/MCY/9960994 </v>
      </c>
    </row>
    <row r="30" spans="1:12" ht="30" customHeight="1" x14ac:dyDescent="0.25">
      <c r="A30" s="5" t="s">
        <v>79</v>
      </c>
      <c r="B30" s="2" t="s">
        <v>80</v>
      </c>
      <c r="C30" s="3">
        <v>6</v>
      </c>
      <c r="D30" s="6">
        <v>15.99</v>
      </c>
      <c r="E30" s="3" t="s">
        <v>2695</v>
      </c>
      <c r="F30" s="2" t="s">
        <v>2358</v>
      </c>
      <c r="G30" s="7"/>
      <c r="H30" s="2" t="s">
        <v>2419</v>
      </c>
      <c r="I30" s="2" t="s">
        <v>2697</v>
      </c>
      <c r="J30" s="2" t="s">
        <v>2361</v>
      </c>
      <c r="K30" s="2" t="s">
        <v>2377</v>
      </c>
      <c r="L30" s="8" t="str">
        <f>HYPERLINK("http://slimages.macys.com/is/image/MCY/10007760 ")</f>
        <v xml:space="preserve">http://slimages.macys.com/is/image/MCY/10007760 </v>
      </c>
    </row>
    <row r="31" spans="1:12" ht="30" customHeight="1" x14ac:dyDescent="0.25">
      <c r="A31" s="5" t="s">
        <v>81</v>
      </c>
      <c r="B31" s="2" t="s">
        <v>82</v>
      </c>
      <c r="C31" s="3">
        <v>2</v>
      </c>
      <c r="D31" s="6">
        <v>19.989999999999998</v>
      </c>
      <c r="E31" s="3" t="s">
        <v>83</v>
      </c>
      <c r="F31" s="2" t="s">
        <v>2440</v>
      </c>
      <c r="G31" s="7"/>
      <c r="H31" s="2" t="s">
        <v>2459</v>
      </c>
      <c r="I31" s="2" t="s">
        <v>2406</v>
      </c>
      <c r="J31" s="2" t="s">
        <v>2361</v>
      </c>
      <c r="K31" s="2" t="s">
        <v>84</v>
      </c>
      <c r="L31" s="8" t="str">
        <f>HYPERLINK("http://slimages.macys.com/is/image/MCY/10044198 ")</f>
        <v xml:space="preserve">http://slimages.macys.com/is/image/MCY/10044198 </v>
      </c>
    </row>
    <row r="32" spans="1:12" ht="30" customHeight="1" x14ac:dyDescent="0.25">
      <c r="A32" s="5" t="s">
        <v>85</v>
      </c>
      <c r="B32" s="2" t="s">
        <v>86</v>
      </c>
      <c r="C32" s="3">
        <v>1</v>
      </c>
      <c r="D32" s="6">
        <v>19.989999999999998</v>
      </c>
      <c r="E32" s="3">
        <v>21003</v>
      </c>
      <c r="F32" s="2" t="s">
        <v>2374</v>
      </c>
      <c r="G32" s="7"/>
      <c r="H32" s="2" t="s">
        <v>2412</v>
      </c>
      <c r="I32" s="2" t="s">
        <v>2823</v>
      </c>
      <c r="J32" s="2" t="s">
        <v>2361</v>
      </c>
      <c r="K32" s="2" t="s">
        <v>87</v>
      </c>
      <c r="L32" s="8" t="str">
        <f>HYPERLINK("http://slimages.macys.com/is/image/MCY/14467221 ")</f>
        <v xml:space="preserve">http://slimages.macys.com/is/image/MCY/14467221 </v>
      </c>
    </row>
    <row r="33" spans="1:12" ht="30" customHeight="1" x14ac:dyDescent="0.25">
      <c r="A33" s="5" t="s">
        <v>88</v>
      </c>
      <c r="B33" s="2" t="s">
        <v>89</v>
      </c>
      <c r="C33" s="3">
        <v>1</v>
      </c>
      <c r="D33" s="6">
        <v>19.989999999999998</v>
      </c>
      <c r="E33" s="3">
        <v>100575</v>
      </c>
      <c r="F33" s="2" t="s">
        <v>2464</v>
      </c>
      <c r="G33" s="7" t="s">
        <v>2382</v>
      </c>
      <c r="H33" s="2" t="s">
        <v>2359</v>
      </c>
      <c r="I33" s="2" t="s">
        <v>90</v>
      </c>
      <c r="J33" s="2" t="s">
        <v>2361</v>
      </c>
      <c r="K33" s="2" t="s">
        <v>2397</v>
      </c>
      <c r="L33" s="8" t="str">
        <f>HYPERLINK("http://slimages.macys.com/is/image/MCY/15770347 ")</f>
        <v xml:space="preserve">http://slimages.macys.com/is/image/MCY/15770347 </v>
      </c>
    </row>
    <row r="34" spans="1:12" ht="30" customHeight="1" x14ac:dyDescent="0.25">
      <c r="A34" s="5" t="s">
        <v>91</v>
      </c>
      <c r="B34" s="2" t="s">
        <v>92</v>
      </c>
      <c r="C34" s="3">
        <v>2</v>
      </c>
      <c r="D34" s="6">
        <v>16.989999999999998</v>
      </c>
      <c r="E34" s="3" t="s">
        <v>93</v>
      </c>
      <c r="F34" s="2" t="s">
        <v>2464</v>
      </c>
      <c r="G34" s="7" t="s">
        <v>2666</v>
      </c>
      <c r="H34" s="2" t="s">
        <v>2465</v>
      </c>
      <c r="I34" s="2" t="s">
        <v>2901</v>
      </c>
      <c r="J34" s="2" t="s">
        <v>2361</v>
      </c>
      <c r="K34" s="2"/>
      <c r="L34" s="8" t="str">
        <f>HYPERLINK("http://slimages.macys.com/is/image/MCY/2779107 ")</f>
        <v xml:space="preserve">http://slimages.macys.com/is/image/MCY/2779107 </v>
      </c>
    </row>
    <row r="35" spans="1:12" ht="30" customHeight="1" x14ac:dyDescent="0.25">
      <c r="A35" s="5" t="s">
        <v>94</v>
      </c>
      <c r="B35" s="2" t="s">
        <v>95</v>
      </c>
      <c r="C35" s="3">
        <v>3</v>
      </c>
      <c r="D35" s="6">
        <v>16.989999999999998</v>
      </c>
      <c r="E35" s="3" t="s">
        <v>96</v>
      </c>
      <c r="F35" s="2" t="s">
        <v>2464</v>
      </c>
      <c r="G35" s="7" t="s">
        <v>2666</v>
      </c>
      <c r="H35" s="2" t="s">
        <v>2465</v>
      </c>
      <c r="I35" s="2" t="s">
        <v>2901</v>
      </c>
      <c r="J35" s="2" t="s">
        <v>2361</v>
      </c>
      <c r="K35" s="2"/>
      <c r="L35" s="8" t="str">
        <f>HYPERLINK("http://slimages.macys.com/is/image/MCY/2779107 ")</f>
        <v xml:space="preserve">http://slimages.macys.com/is/image/MCY/2779107 </v>
      </c>
    </row>
    <row r="36" spans="1:12" ht="30" customHeight="1" x14ac:dyDescent="0.25">
      <c r="A36" s="5" t="s">
        <v>97</v>
      </c>
      <c r="B36" s="2" t="s">
        <v>98</v>
      </c>
      <c r="C36" s="3">
        <v>2</v>
      </c>
      <c r="D36" s="6">
        <v>19.989999999999998</v>
      </c>
      <c r="E36" s="3" t="s">
        <v>99</v>
      </c>
      <c r="F36" s="2" t="s">
        <v>2381</v>
      </c>
      <c r="G36" s="7"/>
      <c r="H36" s="2" t="s">
        <v>2459</v>
      </c>
      <c r="I36" s="2" t="s">
        <v>2406</v>
      </c>
      <c r="J36" s="2" t="s">
        <v>2361</v>
      </c>
      <c r="K36" s="2"/>
      <c r="L36" s="8" t="str">
        <f>HYPERLINK("http://slimages.macys.com/is/image/MCY/11706624 ")</f>
        <v xml:space="preserve">http://slimages.macys.com/is/image/MCY/11706624 </v>
      </c>
    </row>
    <row r="37" spans="1:12" ht="30" customHeight="1" x14ac:dyDescent="0.25">
      <c r="A37" s="5" t="s">
        <v>100</v>
      </c>
      <c r="B37" s="2" t="s">
        <v>101</v>
      </c>
      <c r="C37" s="3">
        <v>1</v>
      </c>
      <c r="D37" s="6">
        <v>12.99</v>
      </c>
      <c r="E37" s="3" t="s">
        <v>102</v>
      </c>
      <c r="F37" s="2" t="s">
        <v>2381</v>
      </c>
      <c r="G37" s="7"/>
      <c r="H37" s="2" t="s">
        <v>2459</v>
      </c>
      <c r="I37" s="2" t="s">
        <v>2406</v>
      </c>
      <c r="J37" s="2" t="s">
        <v>2361</v>
      </c>
      <c r="K37" s="2"/>
      <c r="L37" s="8" t="str">
        <f>HYPERLINK("http://slimages.macys.com/is/image/MCY/11706628 ")</f>
        <v xml:space="preserve">http://slimages.macys.com/is/image/MCY/11706628 </v>
      </c>
    </row>
    <row r="38" spans="1:12" ht="30" customHeight="1" x14ac:dyDescent="0.25">
      <c r="A38" s="5" t="s">
        <v>103</v>
      </c>
      <c r="B38" s="2" t="s">
        <v>104</v>
      </c>
      <c r="C38" s="3">
        <v>3</v>
      </c>
      <c r="D38" s="6">
        <v>12.99</v>
      </c>
      <c r="E38" s="3" t="s">
        <v>105</v>
      </c>
      <c r="F38" s="2" t="s">
        <v>2366</v>
      </c>
      <c r="G38" s="7" t="s">
        <v>3256</v>
      </c>
      <c r="H38" s="2" t="s">
        <v>2459</v>
      </c>
      <c r="I38" s="2" t="s">
        <v>3239</v>
      </c>
      <c r="J38" s="2" t="s">
        <v>2361</v>
      </c>
      <c r="K38" s="2" t="s">
        <v>2831</v>
      </c>
      <c r="L38" s="8" t="str">
        <f>HYPERLINK("http://slimages.macys.com/is/image/MCY/14520560 ")</f>
        <v xml:space="preserve">http://slimages.macys.com/is/image/MCY/14520560 </v>
      </c>
    </row>
    <row r="39" spans="1:12" ht="30" customHeight="1" x14ac:dyDescent="0.25">
      <c r="A39" s="5" t="s">
        <v>106</v>
      </c>
      <c r="B39" s="2" t="s">
        <v>107</v>
      </c>
      <c r="C39" s="3">
        <v>2</v>
      </c>
      <c r="D39" s="6">
        <v>12.99</v>
      </c>
      <c r="E39" s="3" t="s">
        <v>108</v>
      </c>
      <c r="F39" s="2" t="s">
        <v>3408</v>
      </c>
      <c r="G39" s="7" t="s">
        <v>3256</v>
      </c>
      <c r="H39" s="2" t="s">
        <v>2459</v>
      </c>
      <c r="I39" s="2" t="s">
        <v>3239</v>
      </c>
      <c r="J39" s="2" t="s">
        <v>2361</v>
      </c>
      <c r="K39" s="2" t="s">
        <v>2831</v>
      </c>
      <c r="L39" s="8" t="str">
        <f>HYPERLINK("http://slimages.macys.com/is/image/MCY/14520471 ")</f>
        <v xml:space="preserve">http://slimages.macys.com/is/image/MCY/14520471 </v>
      </c>
    </row>
    <row r="40" spans="1:12" ht="30" customHeight="1" x14ac:dyDescent="0.25">
      <c r="A40" s="5" t="s">
        <v>109</v>
      </c>
      <c r="B40" s="2" t="s">
        <v>110</v>
      </c>
      <c r="C40" s="3">
        <v>4</v>
      </c>
      <c r="D40" s="6">
        <v>12.99</v>
      </c>
      <c r="E40" s="3" t="s">
        <v>111</v>
      </c>
      <c r="F40" s="2" t="s">
        <v>2366</v>
      </c>
      <c r="G40" s="7" t="s">
        <v>3256</v>
      </c>
      <c r="H40" s="2" t="s">
        <v>2459</v>
      </c>
      <c r="I40" s="2" t="s">
        <v>3239</v>
      </c>
      <c r="J40" s="2" t="s">
        <v>2361</v>
      </c>
      <c r="K40" s="2" t="s">
        <v>2831</v>
      </c>
      <c r="L40" s="8" t="str">
        <f>HYPERLINK("http://slimages.macys.com/is/image/MCY/14520450 ")</f>
        <v xml:space="preserve">http://slimages.macys.com/is/image/MCY/14520450 </v>
      </c>
    </row>
    <row r="41" spans="1:12" ht="30" customHeight="1" x14ac:dyDescent="0.25">
      <c r="A41" s="5" t="s">
        <v>112</v>
      </c>
      <c r="B41" s="2" t="s">
        <v>113</v>
      </c>
      <c r="C41" s="3">
        <v>1</v>
      </c>
      <c r="D41" s="6">
        <v>19.989999999999998</v>
      </c>
      <c r="E41" s="3" t="s">
        <v>114</v>
      </c>
      <c r="F41" s="2" t="s">
        <v>2440</v>
      </c>
      <c r="G41" s="7" t="s">
        <v>2382</v>
      </c>
      <c r="H41" s="2" t="s">
        <v>2419</v>
      </c>
      <c r="I41" s="2" t="s">
        <v>2632</v>
      </c>
      <c r="J41" s="2" t="s">
        <v>2361</v>
      </c>
      <c r="K41" s="2" t="s">
        <v>2831</v>
      </c>
      <c r="L41" s="8" t="str">
        <f>HYPERLINK("http://slimages.macys.com/is/image/MCY/9456538 ")</f>
        <v xml:space="preserve">http://slimages.macys.com/is/image/MCY/9456538 </v>
      </c>
    </row>
    <row r="42" spans="1:12" ht="30" customHeight="1" x14ac:dyDescent="0.25">
      <c r="A42" s="5" t="s">
        <v>115</v>
      </c>
      <c r="B42" s="2" t="s">
        <v>116</v>
      </c>
      <c r="C42" s="3">
        <v>1</v>
      </c>
      <c r="D42" s="6">
        <v>14.99</v>
      </c>
      <c r="E42" s="3" t="s">
        <v>117</v>
      </c>
      <c r="F42" s="2" t="s">
        <v>118</v>
      </c>
      <c r="G42" s="7" t="s">
        <v>2382</v>
      </c>
      <c r="H42" s="2" t="s">
        <v>2419</v>
      </c>
      <c r="I42" s="2" t="s">
        <v>2632</v>
      </c>
      <c r="J42" s="2" t="s">
        <v>2361</v>
      </c>
      <c r="K42" s="2" t="s">
        <v>119</v>
      </c>
      <c r="L42" s="8" t="str">
        <f>HYPERLINK("http://slimages.macys.com/is/image/MCY/9456462 ")</f>
        <v xml:space="preserve">http://slimages.macys.com/is/image/MCY/9456462 </v>
      </c>
    </row>
    <row r="43" spans="1:12" ht="30" customHeight="1" x14ac:dyDescent="0.25">
      <c r="A43" s="5" t="s">
        <v>120</v>
      </c>
      <c r="B43" s="2" t="s">
        <v>121</v>
      </c>
      <c r="C43" s="3">
        <v>1</v>
      </c>
      <c r="D43" s="6">
        <v>9.99</v>
      </c>
      <c r="E43" s="3" t="s">
        <v>122</v>
      </c>
      <c r="F43" s="2" t="s">
        <v>2394</v>
      </c>
      <c r="G43" s="7"/>
      <c r="H43" s="2" t="s">
        <v>2419</v>
      </c>
      <c r="I43" s="2" t="s">
        <v>3071</v>
      </c>
      <c r="J43" s="2" t="s">
        <v>2361</v>
      </c>
      <c r="K43" s="2" t="s">
        <v>2377</v>
      </c>
      <c r="L43" s="8" t="str">
        <f>HYPERLINK("http://slimages.macys.com/is/image/MCY/2075013 ")</f>
        <v xml:space="preserve">http://slimages.macys.com/is/image/MCY/2075013 </v>
      </c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/>
  </sheetViews>
  <sheetFormatPr defaultRowHeight="30" customHeight="1" x14ac:dyDescent="0.25"/>
  <cols>
    <col min="1" max="1" width="14.28515625" customWidth="1"/>
    <col min="2" max="2" width="48.5703125" customWidth="1"/>
    <col min="3" max="4" width="15" customWidth="1"/>
    <col min="5" max="5" width="17.140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123</v>
      </c>
      <c r="B2" s="2" t="s">
        <v>124</v>
      </c>
      <c r="C2" s="3">
        <v>1</v>
      </c>
      <c r="D2" s="6">
        <v>219.99</v>
      </c>
      <c r="E2" s="3" t="s">
        <v>125</v>
      </c>
      <c r="F2" s="2" t="s">
        <v>2381</v>
      </c>
      <c r="G2" s="7" t="s">
        <v>2382</v>
      </c>
      <c r="H2" s="2" t="s">
        <v>2473</v>
      </c>
      <c r="I2" s="2" t="s">
        <v>3013</v>
      </c>
      <c r="J2" s="2" t="s">
        <v>2361</v>
      </c>
      <c r="K2" s="2" t="s">
        <v>2377</v>
      </c>
      <c r="L2" s="8" t="str">
        <f>HYPERLINK("http://slimages.macys.com/is/image/MCY/8081408 ")</f>
        <v xml:space="preserve">http://slimages.macys.com/is/image/MCY/8081408 </v>
      </c>
    </row>
    <row r="3" spans="1:12" ht="30" customHeight="1" x14ac:dyDescent="0.25">
      <c r="A3" s="5" t="s">
        <v>126</v>
      </c>
      <c r="B3" s="2" t="s">
        <v>127</v>
      </c>
      <c r="C3" s="3">
        <v>1</v>
      </c>
      <c r="D3" s="6">
        <v>199.99</v>
      </c>
      <c r="E3" s="3" t="s">
        <v>128</v>
      </c>
      <c r="F3" s="2" t="s">
        <v>3238</v>
      </c>
      <c r="G3" s="7"/>
      <c r="H3" s="2" t="s">
        <v>2473</v>
      </c>
      <c r="I3" s="2" t="s">
        <v>1529</v>
      </c>
      <c r="J3" s="2" t="s">
        <v>2361</v>
      </c>
      <c r="K3" s="2" t="s">
        <v>2523</v>
      </c>
      <c r="L3" s="8" t="str">
        <f>HYPERLINK("http://slimages.macys.com/is/image/MCY/8061723 ")</f>
        <v xml:space="preserve">http://slimages.macys.com/is/image/MCY/8061723 </v>
      </c>
    </row>
    <row r="4" spans="1:12" ht="30" customHeight="1" x14ac:dyDescent="0.25">
      <c r="A4" s="5" t="s">
        <v>129</v>
      </c>
      <c r="B4" s="2" t="s">
        <v>130</v>
      </c>
      <c r="C4" s="3">
        <v>1</v>
      </c>
      <c r="D4" s="6">
        <v>179.99</v>
      </c>
      <c r="E4" s="3" t="s">
        <v>131</v>
      </c>
      <c r="F4" s="2" t="s">
        <v>2681</v>
      </c>
      <c r="G4" s="7"/>
      <c r="H4" s="2" t="s">
        <v>2395</v>
      </c>
      <c r="I4" s="2" t="s">
        <v>2396</v>
      </c>
      <c r="J4" s="2" t="s">
        <v>2432</v>
      </c>
      <c r="K4" s="2" t="s">
        <v>1809</v>
      </c>
      <c r="L4" s="8" t="str">
        <f>HYPERLINK("http://slimages.macys.com/is/image/MCY/9848201 ")</f>
        <v xml:space="preserve">http://slimages.macys.com/is/image/MCY/9848201 </v>
      </c>
    </row>
    <row r="5" spans="1:12" ht="30" customHeight="1" x14ac:dyDescent="0.25">
      <c r="A5" s="5" t="s">
        <v>132</v>
      </c>
      <c r="B5" s="2" t="s">
        <v>133</v>
      </c>
      <c r="C5" s="3">
        <v>1</v>
      </c>
      <c r="D5" s="6">
        <v>161.99</v>
      </c>
      <c r="E5" s="3" t="s">
        <v>134</v>
      </c>
      <c r="F5" s="2" t="s">
        <v>2374</v>
      </c>
      <c r="G5" s="7"/>
      <c r="H5" s="2" t="s">
        <v>2359</v>
      </c>
      <c r="I5" s="2" t="s">
        <v>2249</v>
      </c>
      <c r="J5" s="2" t="s">
        <v>2361</v>
      </c>
      <c r="K5" s="2" t="s">
        <v>135</v>
      </c>
      <c r="L5" s="8" t="str">
        <f>HYPERLINK("http://slimages.macys.com/is/image/MCY/14329825 ")</f>
        <v xml:space="preserve">http://slimages.macys.com/is/image/MCY/14329825 </v>
      </c>
    </row>
    <row r="6" spans="1:12" ht="30" customHeight="1" x14ac:dyDescent="0.25">
      <c r="A6" s="5" t="s">
        <v>136</v>
      </c>
      <c r="B6" s="2" t="s">
        <v>137</v>
      </c>
      <c r="C6" s="3">
        <v>1</v>
      </c>
      <c r="D6" s="6">
        <v>95.99</v>
      </c>
      <c r="E6" s="3" t="s">
        <v>138</v>
      </c>
      <c r="F6" s="2" t="s">
        <v>2440</v>
      </c>
      <c r="G6" s="7"/>
      <c r="H6" s="2" t="s">
        <v>2419</v>
      </c>
      <c r="I6" s="2" t="s">
        <v>2406</v>
      </c>
      <c r="J6" s="2" t="s">
        <v>2361</v>
      </c>
      <c r="K6" s="2" t="s">
        <v>3475</v>
      </c>
      <c r="L6" s="8" t="str">
        <f>HYPERLINK("http://slimages.macys.com/is/image/MCY/9798710 ")</f>
        <v xml:space="preserve">http://slimages.macys.com/is/image/MCY/9798710 </v>
      </c>
    </row>
    <row r="7" spans="1:12" ht="30" customHeight="1" x14ac:dyDescent="0.25">
      <c r="A7" s="5" t="s">
        <v>139</v>
      </c>
      <c r="B7" s="2" t="s">
        <v>140</v>
      </c>
      <c r="C7" s="3">
        <v>1</v>
      </c>
      <c r="D7" s="6">
        <v>69.989999999999995</v>
      </c>
      <c r="E7" s="3" t="s">
        <v>141</v>
      </c>
      <c r="F7" s="2" t="s">
        <v>2597</v>
      </c>
      <c r="G7" s="7"/>
      <c r="H7" s="2" t="s">
        <v>2419</v>
      </c>
      <c r="I7" s="2" t="s">
        <v>2420</v>
      </c>
      <c r="J7" s="2" t="s">
        <v>2361</v>
      </c>
      <c r="K7" s="2" t="s">
        <v>2377</v>
      </c>
      <c r="L7" s="8" t="str">
        <f>HYPERLINK("http://slimages.macys.com/is/image/MCY/8800107 ")</f>
        <v xml:space="preserve">http://slimages.macys.com/is/image/MCY/8800107 </v>
      </c>
    </row>
    <row r="8" spans="1:12" ht="30" customHeight="1" x14ac:dyDescent="0.25">
      <c r="A8" s="5" t="s">
        <v>142</v>
      </c>
      <c r="B8" s="2" t="s">
        <v>143</v>
      </c>
      <c r="C8" s="3">
        <v>1</v>
      </c>
      <c r="D8" s="6">
        <v>99.99</v>
      </c>
      <c r="E8" s="3" t="s">
        <v>144</v>
      </c>
      <c r="F8" s="2" t="s">
        <v>2768</v>
      </c>
      <c r="G8" s="7" t="s">
        <v>3371</v>
      </c>
      <c r="H8" s="2" t="s">
        <v>2368</v>
      </c>
      <c r="I8" s="2" t="s">
        <v>2369</v>
      </c>
      <c r="J8" s="2" t="s">
        <v>2361</v>
      </c>
      <c r="K8" s="2"/>
      <c r="L8" s="8" t="str">
        <f>HYPERLINK("http://slimages.macys.com/is/image/MCY/8598209 ")</f>
        <v xml:space="preserve">http://slimages.macys.com/is/image/MCY/8598209 </v>
      </c>
    </row>
    <row r="9" spans="1:12" ht="30" customHeight="1" x14ac:dyDescent="0.25">
      <c r="A9" s="5" t="s">
        <v>145</v>
      </c>
      <c r="B9" s="2" t="s">
        <v>146</v>
      </c>
      <c r="C9" s="3">
        <v>1</v>
      </c>
      <c r="D9" s="6">
        <v>119.99</v>
      </c>
      <c r="E9" s="3" t="s">
        <v>147</v>
      </c>
      <c r="F9" s="2" t="s">
        <v>2506</v>
      </c>
      <c r="G9" s="7"/>
      <c r="H9" s="2" t="s">
        <v>2359</v>
      </c>
      <c r="I9" s="2" t="s">
        <v>2406</v>
      </c>
      <c r="J9" s="2" t="s">
        <v>2361</v>
      </c>
      <c r="K9" s="2" t="s">
        <v>2377</v>
      </c>
      <c r="L9" s="8" t="str">
        <f>HYPERLINK("http://slimages.macys.com/is/image/MCY/16483450 ")</f>
        <v xml:space="preserve">http://slimages.macys.com/is/image/MCY/16483450 </v>
      </c>
    </row>
    <row r="10" spans="1:12" ht="30" customHeight="1" x14ac:dyDescent="0.25">
      <c r="A10" s="5" t="s">
        <v>148</v>
      </c>
      <c r="B10" s="2" t="s">
        <v>149</v>
      </c>
      <c r="C10" s="3">
        <v>1</v>
      </c>
      <c r="D10" s="6">
        <v>137.99</v>
      </c>
      <c r="E10" s="3" t="s">
        <v>150</v>
      </c>
      <c r="F10" s="2" t="s">
        <v>2381</v>
      </c>
      <c r="G10" s="7"/>
      <c r="H10" s="2" t="s">
        <v>2359</v>
      </c>
      <c r="I10" s="2" t="s">
        <v>2406</v>
      </c>
      <c r="J10" s="2" t="s">
        <v>2361</v>
      </c>
      <c r="K10" s="2" t="s">
        <v>151</v>
      </c>
      <c r="L10" s="8" t="str">
        <f>HYPERLINK("http://slimages.macys.com/is/image/MCY/12498951 ")</f>
        <v xml:space="preserve">http://slimages.macys.com/is/image/MCY/12498951 </v>
      </c>
    </row>
    <row r="11" spans="1:12" ht="30" customHeight="1" x14ac:dyDescent="0.25">
      <c r="A11" s="5" t="s">
        <v>152</v>
      </c>
      <c r="B11" s="2" t="s">
        <v>153</v>
      </c>
      <c r="C11" s="3">
        <v>1</v>
      </c>
      <c r="D11" s="6">
        <v>79.989999999999995</v>
      </c>
      <c r="E11" s="3" t="s">
        <v>154</v>
      </c>
      <c r="F11" s="2" t="s">
        <v>2849</v>
      </c>
      <c r="G11" s="7"/>
      <c r="H11" s="2" t="s">
        <v>2359</v>
      </c>
      <c r="I11" s="2" t="s">
        <v>2406</v>
      </c>
      <c r="J11" s="2" t="s">
        <v>2361</v>
      </c>
      <c r="K11" s="2" t="s">
        <v>155</v>
      </c>
      <c r="L11" s="8" t="str">
        <f>HYPERLINK("http://slimages.macys.com/is/image/MCY/9147695 ")</f>
        <v xml:space="preserve">http://slimages.macys.com/is/image/MCY/9147695 </v>
      </c>
    </row>
    <row r="12" spans="1:12" ht="30" customHeight="1" x14ac:dyDescent="0.25">
      <c r="A12" s="5" t="s">
        <v>156</v>
      </c>
      <c r="B12" s="2" t="s">
        <v>157</v>
      </c>
      <c r="C12" s="3">
        <v>1</v>
      </c>
      <c r="D12" s="6">
        <v>79.989999999999995</v>
      </c>
      <c r="E12" s="3" t="s">
        <v>158</v>
      </c>
      <c r="F12" s="2" t="s">
        <v>2622</v>
      </c>
      <c r="G12" s="7"/>
      <c r="H12" s="2" t="s">
        <v>2359</v>
      </c>
      <c r="I12" s="2" t="s">
        <v>2406</v>
      </c>
      <c r="J12" s="2" t="s">
        <v>2361</v>
      </c>
      <c r="K12" s="2" t="s">
        <v>2776</v>
      </c>
      <c r="L12" s="8" t="str">
        <f>HYPERLINK("http://slimages.macys.com/is/image/MCY/12054809 ")</f>
        <v xml:space="preserve">http://slimages.macys.com/is/image/MCY/12054809 </v>
      </c>
    </row>
    <row r="13" spans="1:12" ht="30" customHeight="1" x14ac:dyDescent="0.25">
      <c r="A13" s="5" t="s">
        <v>159</v>
      </c>
      <c r="B13" s="2" t="s">
        <v>160</v>
      </c>
      <c r="C13" s="3">
        <v>1</v>
      </c>
      <c r="D13" s="6">
        <v>80.989999999999995</v>
      </c>
      <c r="E13" s="3" t="s">
        <v>161</v>
      </c>
      <c r="F13" s="2" t="s">
        <v>2374</v>
      </c>
      <c r="G13" s="7"/>
      <c r="H13" s="2" t="s">
        <v>2359</v>
      </c>
      <c r="I13" s="2" t="s">
        <v>2249</v>
      </c>
      <c r="J13" s="2" t="s">
        <v>2361</v>
      </c>
      <c r="K13" s="2" t="s">
        <v>162</v>
      </c>
      <c r="L13" s="8" t="str">
        <f>HYPERLINK("http://slimages.macys.com/is/image/MCY/14330619 ")</f>
        <v xml:space="preserve">http://slimages.macys.com/is/image/MCY/14330619 </v>
      </c>
    </row>
    <row r="14" spans="1:12" ht="30" customHeight="1" x14ac:dyDescent="0.25">
      <c r="A14" s="5" t="s">
        <v>163</v>
      </c>
      <c r="B14" s="2" t="s">
        <v>164</v>
      </c>
      <c r="C14" s="3">
        <v>1</v>
      </c>
      <c r="D14" s="6">
        <v>69.989999999999995</v>
      </c>
      <c r="E14" s="3" t="s">
        <v>165</v>
      </c>
      <c r="F14" s="2" t="s">
        <v>3024</v>
      </c>
      <c r="G14" s="7"/>
      <c r="H14" s="2" t="s">
        <v>2359</v>
      </c>
      <c r="I14" s="2" t="s">
        <v>2406</v>
      </c>
      <c r="J14" s="2" t="s">
        <v>2361</v>
      </c>
      <c r="K14" s="2" t="s">
        <v>166</v>
      </c>
      <c r="L14" s="8" t="str">
        <f>HYPERLINK("http://slimages.macys.com/is/image/MCY/9492574 ")</f>
        <v xml:space="preserve">http://slimages.macys.com/is/image/MCY/9492574 </v>
      </c>
    </row>
    <row r="15" spans="1:12" ht="30" customHeight="1" x14ac:dyDescent="0.25">
      <c r="A15" s="5" t="s">
        <v>167</v>
      </c>
      <c r="B15" s="2" t="s">
        <v>168</v>
      </c>
      <c r="C15" s="3">
        <v>1</v>
      </c>
      <c r="D15" s="6">
        <v>66.989999999999995</v>
      </c>
      <c r="E15" s="3" t="s">
        <v>169</v>
      </c>
      <c r="F15" s="2" t="s">
        <v>2440</v>
      </c>
      <c r="G15" s="7"/>
      <c r="H15" s="2" t="s">
        <v>2359</v>
      </c>
      <c r="I15" s="2" t="s">
        <v>2406</v>
      </c>
      <c r="J15" s="2" t="s">
        <v>2361</v>
      </c>
      <c r="K15" s="2" t="s">
        <v>3520</v>
      </c>
      <c r="L15" s="8" t="str">
        <f>HYPERLINK("http://slimages.macys.com/is/image/MCY/9484911 ")</f>
        <v xml:space="preserve">http://slimages.macys.com/is/image/MCY/9484911 </v>
      </c>
    </row>
    <row r="16" spans="1:12" ht="30" customHeight="1" x14ac:dyDescent="0.25">
      <c r="A16" s="5" t="s">
        <v>170</v>
      </c>
      <c r="B16" s="2" t="s">
        <v>171</v>
      </c>
      <c r="C16" s="3">
        <v>1</v>
      </c>
      <c r="D16" s="6">
        <v>99.99</v>
      </c>
      <c r="E16" s="3" t="s">
        <v>172</v>
      </c>
      <c r="F16" s="2" t="s">
        <v>2440</v>
      </c>
      <c r="G16" s="7"/>
      <c r="H16" s="2" t="s">
        <v>2368</v>
      </c>
      <c r="I16" s="2" t="s">
        <v>2369</v>
      </c>
      <c r="J16" s="2" t="s">
        <v>2361</v>
      </c>
      <c r="K16" s="2" t="s">
        <v>173</v>
      </c>
      <c r="L16" s="8" t="str">
        <f>HYPERLINK("http://slimages.macys.com/is/image/MCY/9936587 ")</f>
        <v xml:space="preserve">http://slimages.macys.com/is/image/MCY/9936587 </v>
      </c>
    </row>
    <row r="17" spans="1:12" ht="30" customHeight="1" x14ac:dyDescent="0.25">
      <c r="A17" s="5" t="s">
        <v>174</v>
      </c>
      <c r="B17" s="2" t="s">
        <v>175</v>
      </c>
      <c r="C17" s="3">
        <v>1</v>
      </c>
      <c r="D17" s="6">
        <v>49.99</v>
      </c>
      <c r="E17" s="3">
        <v>17149</v>
      </c>
      <c r="F17" s="2" t="s">
        <v>2374</v>
      </c>
      <c r="G17" s="7"/>
      <c r="H17" s="2" t="s">
        <v>2412</v>
      </c>
      <c r="I17" s="2" t="s">
        <v>2823</v>
      </c>
      <c r="J17" s="2" t="s">
        <v>2361</v>
      </c>
      <c r="K17" s="2" t="s">
        <v>176</v>
      </c>
      <c r="L17" s="8" t="str">
        <f>HYPERLINK("http://slimages.macys.com/is/image/MCY/11132340 ")</f>
        <v xml:space="preserve">http://slimages.macys.com/is/image/MCY/11132340 </v>
      </c>
    </row>
    <row r="18" spans="1:12" ht="30" customHeight="1" x14ac:dyDescent="0.25">
      <c r="A18" s="5" t="s">
        <v>177</v>
      </c>
      <c r="B18" s="2" t="s">
        <v>178</v>
      </c>
      <c r="C18" s="3">
        <v>1</v>
      </c>
      <c r="D18" s="6">
        <v>52.99</v>
      </c>
      <c r="E18" s="3" t="s">
        <v>179</v>
      </c>
      <c r="F18" s="2" t="s">
        <v>2381</v>
      </c>
      <c r="G18" s="7"/>
      <c r="H18" s="2" t="s">
        <v>2359</v>
      </c>
      <c r="I18" s="2" t="s">
        <v>2406</v>
      </c>
      <c r="J18" s="2" t="s">
        <v>2361</v>
      </c>
      <c r="K18" s="2" t="s">
        <v>2607</v>
      </c>
      <c r="L18" s="8" t="str">
        <f>HYPERLINK("http://slimages.macys.com/is/image/MCY/9767726 ")</f>
        <v xml:space="preserve">http://slimages.macys.com/is/image/MCY/9767726 </v>
      </c>
    </row>
    <row r="19" spans="1:12" ht="30" customHeight="1" x14ac:dyDescent="0.25">
      <c r="A19" s="5" t="s">
        <v>2099</v>
      </c>
      <c r="B19" s="2" t="s">
        <v>180</v>
      </c>
      <c r="C19" s="3">
        <v>1</v>
      </c>
      <c r="D19" s="6">
        <v>31.99</v>
      </c>
      <c r="E19" s="3" t="s">
        <v>2101</v>
      </c>
      <c r="F19" s="2" t="s">
        <v>3547</v>
      </c>
      <c r="G19" s="7"/>
      <c r="H19" s="2" t="s">
        <v>2419</v>
      </c>
      <c r="I19" s="2" t="s">
        <v>2406</v>
      </c>
      <c r="J19" s="2" t="s">
        <v>2361</v>
      </c>
      <c r="K19" s="2"/>
      <c r="L19" s="8" t="str">
        <f>HYPERLINK("http://slimages.macys.com/is/image/MCY/9911829 ")</f>
        <v xml:space="preserve">http://slimages.macys.com/is/image/MCY/9911829 </v>
      </c>
    </row>
    <row r="20" spans="1:12" ht="30" customHeight="1" x14ac:dyDescent="0.25">
      <c r="A20" s="5" t="s">
        <v>181</v>
      </c>
      <c r="B20" s="2" t="s">
        <v>182</v>
      </c>
      <c r="C20" s="3">
        <v>2</v>
      </c>
      <c r="D20" s="6">
        <v>38.99</v>
      </c>
      <c r="E20" s="3" t="s">
        <v>183</v>
      </c>
      <c r="F20" s="2" t="s">
        <v>2366</v>
      </c>
      <c r="G20" s="7"/>
      <c r="H20" s="2" t="s">
        <v>2419</v>
      </c>
      <c r="I20" s="2" t="s">
        <v>2406</v>
      </c>
      <c r="J20" s="2" t="s">
        <v>2361</v>
      </c>
      <c r="K20" s="2" t="s">
        <v>2377</v>
      </c>
      <c r="L20" s="8" t="str">
        <f>HYPERLINK("http://slimages.macys.com/is/image/MCY/8264073 ")</f>
        <v xml:space="preserve">http://slimages.macys.com/is/image/MCY/8264073 </v>
      </c>
    </row>
    <row r="21" spans="1:12" ht="30" customHeight="1" x14ac:dyDescent="0.25">
      <c r="A21" s="5" t="s">
        <v>184</v>
      </c>
      <c r="B21" s="2" t="s">
        <v>185</v>
      </c>
      <c r="C21" s="3">
        <v>1</v>
      </c>
      <c r="D21" s="6">
        <v>34.99</v>
      </c>
      <c r="E21" s="3">
        <v>46746</v>
      </c>
      <c r="F21" s="2" t="s">
        <v>2374</v>
      </c>
      <c r="G21" s="7" t="s">
        <v>2666</v>
      </c>
      <c r="H21" s="2" t="s">
        <v>2412</v>
      </c>
      <c r="I21" s="2" t="s">
        <v>2823</v>
      </c>
      <c r="J21" s="2" t="s">
        <v>2467</v>
      </c>
      <c r="K21" s="2" t="s">
        <v>2508</v>
      </c>
      <c r="L21" s="8" t="str">
        <f>HYPERLINK("http://slimages.macys.com/is/image/MCY/10055898 ")</f>
        <v xml:space="preserve">http://slimages.macys.com/is/image/MCY/10055898 </v>
      </c>
    </row>
    <row r="22" spans="1:12" ht="30" customHeight="1" x14ac:dyDescent="0.25">
      <c r="A22" s="5" t="s">
        <v>186</v>
      </c>
      <c r="B22" s="2" t="s">
        <v>187</v>
      </c>
      <c r="C22" s="3">
        <v>1</v>
      </c>
      <c r="D22" s="6">
        <v>46.99</v>
      </c>
      <c r="E22" s="3" t="s">
        <v>188</v>
      </c>
      <c r="F22" s="2" t="s">
        <v>189</v>
      </c>
      <c r="G22" s="7"/>
      <c r="H22" s="2" t="s">
        <v>2359</v>
      </c>
      <c r="I22" s="2" t="s">
        <v>190</v>
      </c>
      <c r="J22" s="2" t="s">
        <v>2361</v>
      </c>
      <c r="K22" s="2" t="s">
        <v>191</v>
      </c>
      <c r="L22" s="8" t="str">
        <f>HYPERLINK("http://slimages.macys.com/is/image/MCY/15669053 ")</f>
        <v xml:space="preserve">http://slimages.macys.com/is/image/MCY/15669053 </v>
      </c>
    </row>
    <row r="23" spans="1:12" ht="30" customHeight="1" x14ac:dyDescent="0.25">
      <c r="A23" s="5" t="s">
        <v>192</v>
      </c>
      <c r="B23" s="2" t="s">
        <v>193</v>
      </c>
      <c r="C23" s="3">
        <v>1</v>
      </c>
      <c r="D23" s="6">
        <v>22.99</v>
      </c>
      <c r="E23" s="3" t="s">
        <v>194</v>
      </c>
      <c r="F23" s="2" t="s">
        <v>2597</v>
      </c>
      <c r="G23" s="7"/>
      <c r="H23" s="2" t="s">
        <v>2459</v>
      </c>
      <c r="I23" s="2" t="s">
        <v>2383</v>
      </c>
      <c r="J23" s="2" t="s">
        <v>2361</v>
      </c>
      <c r="K23" s="2" t="s">
        <v>2894</v>
      </c>
      <c r="L23" s="8" t="str">
        <f>HYPERLINK("http://slimages.macys.com/is/image/MCY/13533939 ")</f>
        <v xml:space="preserve">http://slimages.macys.com/is/image/MCY/13533939 </v>
      </c>
    </row>
    <row r="24" spans="1:12" ht="30" customHeight="1" x14ac:dyDescent="0.25">
      <c r="A24" s="5" t="s">
        <v>195</v>
      </c>
      <c r="B24" s="2" t="s">
        <v>196</v>
      </c>
      <c r="C24" s="3">
        <v>1</v>
      </c>
      <c r="D24" s="6">
        <v>29.99</v>
      </c>
      <c r="E24" s="3" t="s">
        <v>197</v>
      </c>
      <c r="F24" s="2"/>
      <c r="G24" s="7"/>
      <c r="H24" s="2" t="s">
        <v>2359</v>
      </c>
      <c r="I24" s="2" t="s">
        <v>2501</v>
      </c>
      <c r="J24" s="2" t="s">
        <v>2361</v>
      </c>
      <c r="K24" s="2" t="s">
        <v>2377</v>
      </c>
      <c r="L24" s="8" t="str">
        <f>HYPERLINK("http://slimages.macys.com/is/image/MCY/12951023 ")</f>
        <v xml:space="preserve">http://slimages.macys.com/is/image/MCY/12951023 </v>
      </c>
    </row>
    <row r="25" spans="1:12" ht="30" customHeight="1" x14ac:dyDescent="0.25">
      <c r="A25" s="5" t="s">
        <v>198</v>
      </c>
      <c r="B25" s="2" t="s">
        <v>199</v>
      </c>
      <c r="C25" s="3">
        <v>2</v>
      </c>
      <c r="D25" s="6">
        <v>27.99</v>
      </c>
      <c r="E25" s="3" t="s">
        <v>200</v>
      </c>
      <c r="F25" s="2" t="s">
        <v>201</v>
      </c>
      <c r="G25" s="7"/>
      <c r="H25" s="2" t="s">
        <v>2419</v>
      </c>
      <c r="I25" s="2" t="s">
        <v>2406</v>
      </c>
      <c r="J25" s="2" t="s">
        <v>2361</v>
      </c>
      <c r="K25" s="2"/>
      <c r="L25" s="8" t="str">
        <f>HYPERLINK("http://slimages.macys.com/is/image/MCY/10010374 ")</f>
        <v xml:space="preserve">http://slimages.macys.com/is/image/MCY/10010374 </v>
      </c>
    </row>
    <row r="26" spans="1:12" ht="30" customHeight="1" x14ac:dyDescent="0.25">
      <c r="A26" s="5" t="s">
        <v>202</v>
      </c>
      <c r="B26" s="2" t="s">
        <v>203</v>
      </c>
      <c r="C26" s="3">
        <v>1</v>
      </c>
      <c r="D26" s="6">
        <v>38.99</v>
      </c>
      <c r="E26" s="3" t="s">
        <v>204</v>
      </c>
      <c r="F26" s="2" t="s">
        <v>2622</v>
      </c>
      <c r="G26" s="7"/>
      <c r="H26" s="2" t="s">
        <v>2359</v>
      </c>
      <c r="I26" s="2" t="s">
        <v>2803</v>
      </c>
      <c r="J26" s="2" t="s">
        <v>2361</v>
      </c>
      <c r="K26" s="2" t="s">
        <v>2854</v>
      </c>
      <c r="L26" s="8" t="str">
        <f>HYPERLINK("http://slimages.macys.com/is/image/MCY/10005660 ")</f>
        <v xml:space="preserve">http://slimages.macys.com/is/image/MCY/10005660 </v>
      </c>
    </row>
    <row r="27" spans="1:12" ht="30" customHeight="1" x14ac:dyDescent="0.25">
      <c r="A27" s="5" t="s">
        <v>205</v>
      </c>
      <c r="B27" s="2" t="s">
        <v>206</v>
      </c>
      <c r="C27" s="3">
        <v>8</v>
      </c>
      <c r="D27" s="6">
        <v>16.989999999999998</v>
      </c>
      <c r="E27" s="3">
        <v>1003811500</v>
      </c>
      <c r="F27" s="2" t="s">
        <v>2374</v>
      </c>
      <c r="G27" s="7" t="s">
        <v>2531</v>
      </c>
      <c r="H27" s="2" t="s">
        <v>2532</v>
      </c>
      <c r="I27" s="2" t="s">
        <v>2554</v>
      </c>
      <c r="J27" s="2" t="s">
        <v>2361</v>
      </c>
      <c r="K27" s="2" t="s">
        <v>2397</v>
      </c>
      <c r="L27" s="8" t="str">
        <f>HYPERLINK("http://slimages.macys.com/is/image/MCY/10131166 ")</f>
        <v xml:space="preserve">http://slimages.macys.com/is/image/MCY/10131166 </v>
      </c>
    </row>
    <row r="28" spans="1:12" ht="30" customHeight="1" x14ac:dyDescent="0.25">
      <c r="A28" s="5" t="s">
        <v>207</v>
      </c>
      <c r="B28" s="2" t="s">
        <v>208</v>
      </c>
      <c r="C28" s="3">
        <v>12</v>
      </c>
      <c r="D28" s="6">
        <v>16.989999999999998</v>
      </c>
      <c r="E28" s="3">
        <v>1003811600</v>
      </c>
      <c r="F28" s="2" t="s">
        <v>2374</v>
      </c>
      <c r="G28" s="7" t="s">
        <v>2531</v>
      </c>
      <c r="H28" s="2" t="s">
        <v>2532</v>
      </c>
      <c r="I28" s="2" t="s">
        <v>2554</v>
      </c>
      <c r="J28" s="2" t="s">
        <v>2361</v>
      </c>
      <c r="K28" s="2" t="s">
        <v>2508</v>
      </c>
      <c r="L28" s="8" t="str">
        <f>HYPERLINK("http://slimages.macys.com/is/image/MCY/10131217 ")</f>
        <v xml:space="preserve">http://slimages.macys.com/is/image/MCY/10131217 </v>
      </c>
    </row>
    <row r="29" spans="1:12" ht="30" customHeight="1" x14ac:dyDescent="0.25">
      <c r="A29" s="5" t="s">
        <v>209</v>
      </c>
      <c r="B29" s="2" t="s">
        <v>210</v>
      </c>
      <c r="C29" s="3">
        <v>1</v>
      </c>
      <c r="D29" s="6">
        <v>24.99</v>
      </c>
      <c r="E29" s="3" t="s">
        <v>211</v>
      </c>
      <c r="F29" s="2" t="s">
        <v>201</v>
      </c>
      <c r="G29" s="7"/>
      <c r="H29" s="2" t="s">
        <v>2419</v>
      </c>
      <c r="I29" s="2" t="s">
        <v>2850</v>
      </c>
      <c r="J29" s="2" t="s">
        <v>2361</v>
      </c>
      <c r="K29" s="2" t="s">
        <v>2377</v>
      </c>
      <c r="L29" s="8" t="str">
        <f>HYPERLINK("http://slimages.macys.com/is/image/MCY/11685195 ")</f>
        <v xml:space="preserve">http://slimages.macys.com/is/image/MCY/11685195 </v>
      </c>
    </row>
    <row r="30" spans="1:12" ht="30" customHeight="1" x14ac:dyDescent="0.25">
      <c r="A30" s="5" t="s">
        <v>212</v>
      </c>
      <c r="B30" s="2" t="s">
        <v>213</v>
      </c>
      <c r="C30" s="3">
        <v>1</v>
      </c>
      <c r="D30" s="6">
        <v>24.99</v>
      </c>
      <c r="E30" s="3" t="s">
        <v>214</v>
      </c>
      <c r="F30" s="2" t="s">
        <v>2536</v>
      </c>
      <c r="G30" s="7"/>
      <c r="H30" s="2" t="s">
        <v>2419</v>
      </c>
      <c r="I30" s="2" t="s">
        <v>2850</v>
      </c>
      <c r="J30" s="2" t="s">
        <v>2361</v>
      </c>
      <c r="K30" s="2" t="s">
        <v>2377</v>
      </c>
      <c r="L30" s="8" t="str">
        <f>HYPERLINK("http://slimages.macys.com/is/image/MCY/11685195 ")</f>
        <v xml:space="preserve">http://slimages.macys.com/is/image/MCY/11685195 </v>
      </c>
    </row>
    <row r="31" spans="1:12" ht="30" customHeight="1" x14ac:dyDescent="0.25">
      <c r="A31" s="5" t="s">
        <v>215</v>
      </c>
      <c r="B31" s="2" t="s">
        <v>216</v>
      </c>
      <c r="C31" s="3">
        <v>2</v>
      </c>
      <c r="D31" s="6">
        <v>19.989999999999998</v>
      </c>
      <c r="E31" s="3" t="s">
        <v>217</v>
      </c>
      <c r="F31" s="2" t="s">
        <v>2374</v>
      </c>
      <c r="G31" s="7" t="s">
        <v>2531</v>
      </c>
      <c r="H31" s="2" t="s">
        <v>2459</v>
      </c>
      <c r="I31" s="2" t="s">
        <v>2547</v>
      </c>
      <c r="J31" s="2" t="s">
        <v>2361</v>
      </c>
      <c r="K31" s="2" t="s">
        <v>218</v>
      </c>
      <c r="L31" s="8" t="str">
        <f>HYPERLINK("http://slimages.macys.com/is/image/MCY/10983563 ")</f>
        <v xml:space="preserve">http://slimages.macys.com/is/image/MCY/10983563 </v>
      </c>
    </row>
    <row r="32" spans="1:12" ht="30" customHeight="1" x14ac:dyDescent="0.25">
      <c r="A32" s="5" t="s">
        <v>219</v>
      </c>
      <c r="B32" s="2" t="s">
        <v>220</v>
      </c>
      <c r="C32" s="3">
        <v>1</v>
      </c>
      <c r="D32" s="6">
        <v>17.989999999999998</v>
      </c>
      <c r="E32" s="3">
        <v>9564003</v>
      </c>
      <c r="F32" s="2" t="s">
        <v>2374</v>
      </c>
      <c r="G32" s="7" t="s">
        <v>2382</v>
      </c>
      <c r="H32" s="2" t="s">
        <v>2359</v>
      </c>
      <c r="I32" s="2" t="s">
        <v>2794</v>
      </c>
      <c r="J32" s="2" t="s">
        <v>2361</v>
      </c>
      <c r="K32" s="2" t="s">
        <v>2397</v>
      </c>
      <c r="L32" s="8" t="str">
        <f>HYPERLINK("http://slimages.macys.com/is/image/MCY/14456938 ")</f>
        <v xml:space="preserve">http://slimages.macys.com/is/image/MCY/14456938 </v>
      </c>
    </row>
    <row r="33" spans="1:12" ht="30" customHeight="1" x14ac:dyDescent="0.25">
      <c r="A33" s="5" t="s">
        <v>1569</v>
      </c>
      <c r="B33" s="2" t="s">
        <v>221</v>
      </c>
      <c r="C33" s="3">
        <v>2</v>
      </c>
      <c r="D33" s="6">
        <v>29.99</v>
      </c>
      <c r="E33" s="3" t="s">
        <v>1571</v>
      </c>
      <c r="F33" s="2" t="s">
        <v>3194</v>
      </c>
      <c r="G33" s="7"/>
      <c r="H33" s="2" t="s">
        <v>2395</v>
      </c>
      <c r="I33" s="2" t="s">
        <v>2396</v>
      </c>
      <c r="J33" s="2" t="s">
        <v>2361</v>
      </c>
      <c r="K33" s="2" t="s">
        <v>2397</v>
      </c>
      <c r="L33" s="8" t="str">
        <f>HYPERLINK("http://slimages.macys.com/is/image/MCY/9855045 ")</f>
        <v xml:space="preserve">http://slimages.macys.com/is/image/MCY/9855045 </v>
      </c>
    </row>
    <row r="34" spans="1:12" ht="30" customHeight="1" x14ac:dyDescent="0.25">
      <c r="A34" s="5" t="s">
        <v>222</v>
      </c>
      <c r="B34" s="2" t="s">
        <v>223</v>
      </c>
      <c r="C34" s="3">
        <v>1</v>
      </c>
      <c r="D34" s="6">
        <v>12.99</v>
      </c>
      <c r="E34" s="3">
        <v>1002470900</v>
      </c>
      <c r="F34" s="2" t="s">
        <v>2374</v>
      </c>
      <c r="G34" s="7" t="s">
        <v>2546</v>
      </c>
      <c r="H34" s="2" t="s">
        <v>2532</v>
      </c>
      <c r="I34" s="2" t="s">
        <v>2554</v>
      </c>
      <c r="J34" s="2" t="s">
        <v>2361</v>
      </c>
      <c r="K34" s="2" t="s">
        <v>2508</v>
      </c>
      <c r="L34" s="8" t="str">
        <f>HYPERLINK("http://slimages.macys.com/is/image/MCY/10131217 ")</f>
        <v xml:space="preserve">http://slimages.macys.com/is/image/MCY/10131217 </v>
      </c>
    </row>
    <row r="35" spans="1:12" ht="30" customHeight="1" x14ac:dyDescent="0.25">
      <c r="A35" s="5" t="s">
        <v>224</v>
      </c>
      <c r="B35" s="2" t="s">
        <v>206</v>
      </c>
      <c r="C35" s="3">
        <v>1</v>
      </c>
      <c r="D35" s="6">
        <v>12.99</v>
      </c>
      <c r="E35" s="3">
        <v>1002471300</v>
      </c>
      <c r="F35" s="2" t="s">
        <v>2374</v>
      </c>
      <c r="G35" s="7" t="s">
        <v>2546</v>
      </c>
      <c r="H35" s="2" t="s">
        <v>2532</v>
      </c>
      <c r="I35" s="2" t="s">
        <v>2554</v>
      </c>
      <c r="J35" s="2" t="s">
        <v>2361</v>
      </c>
      <c r="K35" s="2" t="s">
        <v>2508</v>
      </c>
      <c r="L35" s="8" t="str">
        <f>HYPERLINK("http://slimages.macys.com/is/image/MCY/10131166 ")</f>
        <v xml:space="preserve">http://slimages.macys.com/is/image/MCY/10131166 </v>
      </c>
    </row>
    <row r="36" spans="1:12" ht="30" customHeight="1" x14ac:dyDescent="0.25">
      <c r="A36" s="5" t="s">
        <v>1448</v>
      </c>
      <c r="B36" s="2" t="s">
        <v>225</v>
      </c>
      <c r="C36" s="3">
        <v>1</v>
      </c>
      <c r="D36" s="6">
        <v>14.99</v>
      </c>
      <c r="E36" s="3">
        <v>20045</v>
      </c>
      <c r="F36" s="2" t="s">
        <v>2374</v>
      </c>
      <c r="G36" s="7"/>
      <c r="H36" s="2" t="s">
        <v>2412</v>
      </c>
      <c r="I36" s="2" t="s">
        <v>2823</v>
      </c>
      <c r="J36" s="2" t="s">
        <v>2361</v>
      </c>
      <c r="K36" s="2" t="s">
        <v>1450</v>
      </c>
      <c r="L36" s="8" t="str">
        <f>HYPERLINK("http://slimages.macys.com/is/image/MCY/11531693 ")</f>
        <v xml:space="preserve">http://slimages.macys.com/is/image/MCY/11531693 </v>
      </c>
    </row>
    <row r="37" spans="1:12" ht="30" customHeight="1" x14ac:dyDescent="0.25">
      <c r="A37" s="5" t="s">
        <v>226</v>
      </c>
      <c r="B37" s="2" t="s">
        <v>227</v>
      </c>
      <c r="C37" s="3">
        <v>1</v>
      </c>
      <c r="D37" s="6">
        <v>4.99</v>
      </c>
      <c r="E37" s="3" t="s">
        <v>228</v>
      </c>
      <c r="F37" s="2" t="s">
        <v>2374</v>
      </c>
      <c r="G37" s="7" t="s">
        <v>2553</v>
      </c>
      <c r="H37" s="2" t="s">
        <v>2446</v>
      </c>
      <c r="I37" s="2" t="s">
        <v>2507</v>
      </c>
      <c r="J37" s="2" t="s">
        <v>2361</v>
      </c>
      <c r="K37" s="2" t="s">
        <v>2508</v>
      </c>
      <c r="L37" s="8" t="str">
        <f>HYPERLINK("http://slimages.macys.com/is/image/MCY/10156128 ")</f>
        <v xml:space="preserve">http://slimages.macys.com/is/image/MCY/10156128 </v>
      </c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/>
  </sheetViews>
  <sheetFormatPr defaultRowHeight="30" customHeight="1" x14ac:dyDescent="0.25"/>
  <cols>
    <col min="1" max="1" width="14.28515625" customWidth="1"/>
    <col min="2" max="2" width="49.140625" customWidth="1"/>
    <col min="3" max="4" width="15" customWidth="1"/>
    <col min="5" max="5" width="14.28515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229</v>
      </c>
      <c r="B2" s="2" t="s">
        <v>230</v>
      </c>
      <c r="C2" s="3">
        <v>1</v>
      </c>
      <c r="D2" s="6">
        <v>279.99</v>
      </c>
      <c r="E2" s="3">
        <v>650738974003</v>
      </c>
      <c r="F2" s="2" t="s">
        <v>2440</v>
      </c>
      <c r="G2" s="7"/>
      <c r="H2" s="2" t="s">
        <v>1998</v>
      </c>
      <c r="I2" s="2" t="s">
        <v>3479</v>
      </c>
      <c r="J2" s="2" t="s">
        <v>2361</v>
      </c>
      <c r="K2" s="2" t="s">
        <v>2513</v>
      </c>
      <c r="L2" s="8" t="str">
        <f>HYPERLINK("http://images.bloomingdales.com/is/image/BLM/10122166 ")</f>
        <v xml:space="preserve">http://images.bloomingdales.com/is/image/BLM/10122166 </v>
      </c>
    </row>
    <row r="3" spans="1:12" ht="30" customHeight="1" x14ac:dyDescent="0.25">
      <c r="A3" s="5" t="s">
        <v>231</v>
      </c>
      <c r="B3" s="2" t="s">
        <v>232</v>
      </c>
      <c r="C3" s="3">
        <v>1</v>
      </c>
      <c r="D3" s="6">
        <v>244.99</v>
      </c>
      <c r="E3" s="3" t="s">
        <v>233</v>
      </c>
      <c r="F3" s="2" t="s">
        <v>2394</v>
      </c>
      <c r="G3" s="7"/>
      <c r="H3" s="2" t="s">
        <v>2359</v>
      </c>
      <c r="I3" s="2" t="s">
        <v>2406</v>
      </c>
      <c r="J3" s="2" t="s">
        <v>2361</v>
      </c>
      <c r="K3" s="2" t="s">
        <v>234</v>
      </c>
      <c r="L3" s="8" t="str">
        <f>HYPERLINK("http://slimages.macys.com/is/image/MCY/9536375 ")</f>
        <v xml:space="preserve">http://slimages.macys.com/is/image/MCY/9536375 </v>
      </c>
    </row>
    <row r="4" spans="1:12" ht="30" customHeight="1" x14ac:dyDescent="0.25">
      <c r="A4" s="5" t="s">
        <v>235</v>
      </c>
      <c r="B4" s="2" t="s">
        <v>236</v>
      </c>
      <c r="C4" s="3">
        <v>1</v>
      </c>
      <c r="D4" s="6">
        <v>159.99</v>
      </c>
      <c r="E4" s="3" t="s">
        <v>237</v>
      </c>
      <c r="F4" s="2" t="s">
        <v>2374</v>
      </c>
      <c r="G4" s="7" t="s">
        <v>2666</v>
      </c>
      <c r="H4" s="2" t="s">
        <v>2412</v>
      </c>
      <c r="I4" s="2" t="s">
        <v>2788</v>
      </c>
      <c r="J4" s="2" t="s">
        <v>2789</v>
      </c>
      <c r="K4" s="2" t="s">
        <v>2991</v>
      </c>
      <c r="L4" s="8" t="str">
        <f>HYPERLINK("http://slimages.macys.com/is/image/MCY/11798206 ")</f>
        <v xml:space="preserve">http://slimages.macys.com/is/image/MCY/11798206 </v>
      </c>
    </row>
    <row r="5" spans="1:12" ht="30" customHeight="1" x14ac:dyDescent="0.25">
      <c r="A5" s="5" t="s">
        <v>238</v>
      </c>
      <c r="B5" s="2" t="s">
        <v>239</v>
      </c>
      <c r="C5" s="3">
        <v>1</v>
      </c>
      <c r="D5" s="6">
        <v>169.99</v>
      </c>
      <c r="E5" s="3" t="s">
        <v>240</v>
      </c>
      <c r="F5" s="2" t="s">
        <v>2768</v>
      </c>
      <c r="G5" s="7"/>
      <c r="H5" s="2" t="s">
        <v>2359</v>
      </c>
      <c r="I5" s="2" t="s">
        <v>2406</v>
      </c>
      <c r="J5" s="2" t="s">
        <v>2361</v>
      </c>
      <c r="K5" s="2" t="s">
        <v>241</v>
      </c>
      <c r="L5" s="8" t="str">
        <f>HYPERLINK("http://slimages.macys.com/is/image/MCY/14430831 ")</f>
        <v xml:space="preserve">http://slimages.macys.com/is/image/MCY/14430831 </v>
      </c>
    </row>
    <row r="6" spans="1:12" ht="30" customHeight="1" x14ac:dyDescent="0.25">
      <c r="A6" s="5" t="s">
        <v>242</v>
      </c>
      <c r="B6" s="2" t="s">
        <v>243</v>
      </c>
      <c r="C6" s="3">
        <v>1</v>
      </c>
      <c r="D6" s="6">
        <v>129.99</v>
      </c>
      <c r="E6" s="3" t="s">
        <v>244</v>
      </c>
      <c r="F6" s="2" t="s">
        <v>2512</v>
      </c>
      <c r="G6" s="7" t="s">
        <v>245</v>
      </c>
      <c r="H6" s="2" t="s">
        <v>1998</v>
      </c>
      <c r="I6" s="2" t="s">
        <v>3479</v>
      </c>
      <c r="J6" s="2"/>
      <c r="K6" s="2"/>
      <c r="L6" s="8" t="str">
        <f>HYPERLINK("http://slimages.macys.com/is/image/MCY/2273991 ")</f>
        <v xml:space="preserve">http://slimages.macys.com/is/image/MCY/2273991 </v>
      </c>
    </row>
    <row r="7" spans="1:12" ht="30" customHeight="1" x14ac:dyDescent="0.25">
      <c r="A7" s="5" t="s">
        <v>246</v>
      </c>
      <c r="B7" s="2" t="s">
        <v>243</v>
      </c>
      <c r="C7" s="3">
        <v>3</v>
      </c>
      <c r="D7" s="6">
        <v>129.99</v>
      </c>
      <c r="E7" s="3">
        <v>650512398005</v>
      </c>
      <c r="F7" s="2" t="s">
        <v>2381</v>
      </c>
      <c r="G7" s="7" t="s">
        <v>247</v>
      </c>
      <c r="H7" s="2" t="s">
        <v>1998</v>
      </c>
      <c r="I7" s="2" t="s">
        <v>3479</v>
      </c>
      <c r="J7" s="2"/>
      <c r="K7" s="2"/>
      <c r="L7" s="8" t="str">
        <f>HYPERLINK("http://slimages.macys.com/is/image/MCY/2273991 ")</f>
        <v xml:space="preserve">http://slimages.macys.com/is/image/MCY/2273991 </v>
      </c>
    </row>
    <row r="8" spans="1:12" ht="30" customHeight="1" x14ac:dyDescent="0.25">
      <c r="A8" s="5" t="s">
        <v>248</v>
      </c>
      <c r="B8" s="2" t="s">
        <v>243</v>
      </c>
      <c r="C8" s="3">
        <v>1</v>
      </c>
      <c r="D8" s="6">
        <v>129.99</v>
      </c>
      <c r="E8" s="3">
        <v>650677396002</v>
      </c>
      <c r="F8" s="2" t="s">
        <v>2394</v>
      </c>
      <c r="G8" s="7" t="s">
        <v>249</v>
      </c>
      <c r="H8" s="2" t="s">
        <v>1998</v>
      </c>
      <c r="I8" s="2" t="s">
        <v>3479</v>
      </c>
      <c r="J8" s="2" t="s">
        <v>2361</v>
      </c>
      <c r="K8" s="2" t="s">
        <v>2508</v>
      </c>
      <c r="L8" s="8" t="str">
        <f>HYPERLINK("http://images.bloomingdales.com/is/image/BLM/9699413 ")</f>
        <v xml:space="preserve">http://images.bloomingdales.com/is/image/BLM/9699413 </v>
      </c>
    </row>
    <row r="9" spans="1:12" ht="30" customHeight="1" x14ac:dyDescent="0.25">
      <c r="A9" s="5" t="s">
        <v>250</v>
      </c>
      <c r="B9" s="2" t="s">
        <v>243</v>
      </c>
      <c r="C9" s="3">
        <v>1</v>
      </c>
      <c r="D9" s="6">
        <v>129.99</v>
      </c>
      <c r="E9" s="3">
        <v>650677395002</v>
      </c>
      <c r="F9" s="2" t="s">
        <v>2394</v>
      </c>
      <c r="G9" s="7" t="s">
        <v>245</v>
      </c>
      <c r="H9" s="2" t="s">
        <v>1998</v>
      </c>
      <c r="I9" s="2" t="s">
        <v>3479</v>
      </c>
      <c r="J9" s="2" t="s">
        <v>2361</v>
      </c>
      <c r="K9" s="2" t="s">
        <v>2508</v>
      </c>
      <c r="L9" s="8" t="str">
        <f>HYPERLINK("http://images.bloomingdales.com/is/image/BLM/9699413 ")</f>
        <v xml:space="preserve">http://images.bloomingdales.com/is/image/BLM/9699413 </v>
      </c>
    </row>
    <row r="10" spans="1:12" ht="30" customHeight="1" x14ac:dyDescent="0.25">
      <c r="A10" s="5" t="s">
        <v>251</v>
      </c>
      <c r="B10" s="2" t="s">
        <v>243</v>
      </c>
      <c r="C10" s="3">
        <v>1</v>
      </c>
      <c r="D10" s="6">
        <v>129.99</v>
      </c>
      <c r="E10" s="3" t="s">
        <v>252</v>
      </c>
      <c r="F10" s="2" t="s">
        <v>2374</v>
      </c>
      <c r="G10" s="7" t="s">
        <v>253</v>
      </c>
      <c r="H10" s="2" t="s">
        <v>1998</v>
      </c>
      <c r="I10" s="2" t="s">
        <v>3479</v>
      </c>
      <c r="J10" s="2"/>
      <c r="K10" s="2"/>
      <c r="L10" s="8" t="str">
        <f>HYPERLINK("http://slimages.macys.com/is/image/MCY/2273991 ")</f>
        <v xml:space="preserve">http://slimages.macys.com/is/image/MCY/2273991 </v>
      </c>
    </row>
    <row r="11" spans="1:12" ht="30" customHeight="1" x14ac:dyDescent="0.25">
      <c r="A11" s="5" t="s">
        <v>254</v>
      </c>
      <c r="B11" s="2" t="s">
        <v>243</v>
      </c>
      <c r="C11" s="3">
        <v>2</v>
      </c>
      <c r="D11" s="6">
        <v>129.99</v>
      </c>
      <c r="E11" s="3">
        <v>650677397002</v>
      </c>
      <c r="F11" s="2" t="s">
        <v>2394</v>
      </c>
      <c r="G11" s="7" t="s">
        <v>247</v>
      </c>
      <c r="H11" s="2" t="s">
        <v>1998</v>
      </c>
      <c r="I11" s="2" t="s">
        <v>3479</v>
      </c>
      <c r="J11" s="2" t="s">
        <v>2361</v>
      </c>
      <c r="K11" s="2" t="s">
        <v>2508</v>
      </c>
      <c r="L11" s="8" t="str">
        <f>HYPERLINK("http://images.bloomingdales.com/is/image/BLM/9699413 ")</f>
        <v xml:space="preserve">http://images.bloomingdales.com/is/image/BLM/9699413 </v>
      </c>
    </row>
    <row r="12" spans="1:12" ht="30" customHeight="1" x14ac:dyDescent="0.25">
      <c r="A12" s="5" t="s">
        <v>255</v>
      </c>
      <c r="B12" s="2" t="s">
        <v>256</v>
      </c>
      <c r="C12" s="3">
        <v>1</v>
      </c>
      <c r="D12" s="6">
        <v>129.99</v>
      </c>
      <c r="E12" s="3">
        <v>650756424004</v>
      </c>
      <c r="F12" s="2" t="s">
        <v>2381</v>
      </c>
      <c r="G12" s="7" t="s">
        <v>245</v>
      </c>
      <c r="H12" s="2" t="s">
        <v>1998</v>
      </c>
      <c r="I12" s="2" t="s">
        <v>3479</v>
      </c>
      <c r="J12" s="2" t="s">
        <v>2432</v>
      </c>
      <c r="K12" s="2" t="s">
        <v>2508</v>
      </c>
      <c r="L12" s="8" t="str">
        <f>HYPERLINK("http://images.bloomingdales.com/is/image/BLM/10478875 ")</f>
        <v xml:space="preserve">http://images.bloomingdales.com/is/image/BLM/10478875 </v>
      </c>
    </row>
    <row r="13" spans="1:12" ht="30" customHeight="1" x14ac:dyDescent="0.25">
      <c r="A13" s="5" t="s">
        <v>257</v>
      </c>
      <c r="B13" s="2" t="s">
        <v>243</v>
      </c>
      <c r="C13" s="3">
        <v>1</v>
      </c>
      <c r="D13" s="6">
        <v>129.99</v>
      </c>
      <c r="E13" s="3" t="s">
        <v>258</v>
      </c>
      <c r="F13" s="2" t="s">
        <v>2440</v>
      </c>
      <c r="G13" s="7" t="s">
        <v>259</v>
      </c>
      <c r="H13" s="2" t="s">
        <v>1998</v>
      </c>
      <c r="I13" s="2" t="s">
        <v>3479</v>
      </c>
      <c r="J13" s="2"/>
      <c r="K13" s="2"/>
      <c r="L13" s="8" t="str">
        <f>HYPERLINK("http://slimages.macys.com/is/image/MCY/2273991 ")</f>
        <v xml:space="preserve">http://slimages.macys.com/is/image/MCY/2273991 </v>
      </c>
    </row>
    <row r="14" spans="1:12" ht="30" customHeight="1" x14ac:dyDescent="0.25">
      <c r="A14" s="5" t="s">
        <v>260</v>
      </c>
      <c r="B14" s="2" t="s">
        <v>243</v>
      </c>
      <c r="C14" s="3">
        <v>1</v>
      </c>
      <c r="D14" s="6">
        <v>129.99</v>
      </c>
      <c r="E14" s="3" t="s">
        <v>261</v>
      </c>
      <c r="F14" s="2" t="s">
        <v>2374</v>
      </c>
      <c r="G14" s="7" t="s">
        <v>245</v>
      </c>
      <c r="H14" s="2" t="s">
        <v>1998</v>
      </c>
      <c r="I14" s="2" t="s">
        <v>3479</v>
      </c>
      <c r="J14" s="2" t="s">
        <v>2361</v>
      </c>
      <c r="K14" s="2" t="s">
        <v>262</v>
      </c>
      <c r="L14" s="8" t="str">
        <f>HYPERLINK("http://slimages.macys.com/is/image/MCY/2273991 ")</f>
        <v xml:space="preserve">http://slimages.macys.com/is/image/MCY/2273991 </v>
      </c>
    </row>
    <row r="15" spans="1:12" ht="30" customHeight="1" x14ac:dyDescent="0.25">
      <c r="A15" s="5" t="s">
        <v>263</v>
      </c>
      <c r="B15" s="2" t="s">
        <v>243</v>
      </c>
      <c r="C15" s="3">
        <v>1</v>
      </c>
      <c r="D15" s="6">
        <v>129.99</v>
      </c>
      <c r="E15" s="3" t="s">
        <v>264</v>
      </c>
      <c r="F15" s="2" t="s">
        <v>2440</v>
      </c>
      <c r="G15" s="7" t="s">
        <v>245</v>
      </c>
      <c r="H15" s="2" t="s">
        <v>1998</v>
      </c>
      <c r="I15" s="2" t="s">
        <v>3479</v>
      </c>
      <c r="J15" s="2"/>
      <c r="K15" s="2"/>
      <c r="L15" s="8" t="str">
        <f>HYPERLINK("http://slimages.macys.com/is/image/MCY/2273991 ")</f>
        <v xml:space="preserve">http://slimages.macys.com/is/image/MCY/2273991 </v>
      </c>
    </row>
    <row r="16" spans="1:12" ht="30" customHeight="1" x14ac:dyDescent="0.25">
      <c r="A16" s="5" t="s">
        <v>265</v>
      </c>
      <c r="B16" s="2" t="s">
        <v>243</v>
      </c>
      <c r="C16" s="3">
        <v>2</v>
      </c>
      <c r="D16" s="6">
        <v>129.99</v>
      </c>
      <c r="E16" s="3">
        <v>650512398001</v>
      </c>
      <c r="F16" s="2" t="s">
        <v>2849</v>
      </c>
      <c r="G16" s="7" t="s">
        <v>247</v>
      </c>
      <c r="H16" s="2" t="s">
        <v>1998</v>
      </c>
      <c r="I16" s="2" t="s">
        <v>3479</v>
      </c>
      <c r="J16" s="2"/>
      <c r="K16" s="2"/>
      <c r="L16" s="8" t="str">
        <f>HYPERLINK("http://slimages.macys.com/is/image/MCY/2273991 ")</f>
        <v xml:space="preserve">http://slimages.macys.com/is/image/MCY/2273991 </v>
      </c>
    </row>
    <row r="17" spans="1:12" ht="30" customHeight="1" x14ac:dyDescent="0.25">
      <c r="A17" s="5" t="s">
        <v>266</v>
      </c>
      <c r="B17" s="2" t="s">
        <v>267</v>
      </c>
      <c r="C17" s="3">
        <v>1</v>
      </c>
      <c r="D17" s="6">
        <v>178.99</v>
      </c>
      <c r="E17" s="3" t="s">
        <v>268</v>
      </c>
      <c r="F17" s="2" t="s">
        <v>2440</v>
      </c>
      <c r="G17" s="7"/>
      <c r="H17" s="2" t="s">
        <v>2419</v>
      </c>
      <c r="I17" s="2" t="s">
        <v>2406</v>
      </c>
      <c r="J17" s="2" t="s">
        <v>2361</v>
      </c>
      <c r="K17" s="2" t="s">
        <v>269</v>
      </c>
      <c r="L17" s="8" t="str">
        <f>HYPERLINK("http://slimages.macys.com/is/image/MCY/12502111 ")</f>
        <v xml:space="preserve">http://slimages.macys.com/is/image/MCY/12502111 </v>
      </c>
    </row>
    <row r="18" spans="1:12" ht="30" customHeight="1" x14ac:dyDescent="0.25">
      <c r="A18" s="5" t="s">
        <v>270</v>
      </c>
      <c r="B18" s="2" t="s">
        <v>271</v>
      </c>
      <c r="C18" s="3">
        <v>1</v>
      </c>
      <c r="D18" s="6">
        <v>139.99</v>
      </c>
      <c r="E18" s="3" t="s">
        <v>272</v>
      </c>
      <c r="F18" s="2" t="s">
        <v>2793</v>
      </c>
      <c r="G18" s="7"/>
      <c r="H18" s="2" t="s">
        <v>2359</v>
      </c>
      <c r="I18" s="2" t="s">
        <v>2406</v>
      </c>
      <c r="J18" s="2" t="s">
        <v>2361</v>
      </c>
      <c r="K18" s="2" t="s">
        <v>3314</v>
      </c>
      <c r="L18" s="8" t="str">
        <f>HYPERLINK("http://slimages.macys.com/is/image/MCY/8928609 ")</f>
        <v xml:space="preserve">http://slimages.macys.com/is/image/MCY/8928609 </v>
      </c>
    </row>
    <row r="19" spans="1:12" ht="30" customHeight="1" x14ac:dyDescent="0.25">
      <c r="A19" s="5" t="s">
        <v>273</v>
      </c>
      <c r="B19" s="2" t="s">
        <v>274</v>
      </c>
      <c r="C19" s="3">
        <v>1</v>
      </c>
      <c r="D19" s="6">
        <v>139.99</v>
      </c>
      <c r="E19" s="3" t="s">
        <v>275</v>
      </c>
      <c r="F19" s="2"/>
      <c r="G19" s="7"/>
      <c r="H19" s="2" t="s">
        <v>2359</v>
      </c>
      <c r="I19" s="2" t="s">
        <v>2406</v>
      </c>
      <c r="J19" s="2" t="s">
        <v>2361</v>
      </c>
      <c r="K19" s="2" t="s">
        <v>1613</v>
      </c>
      <c r="L19" s="8" t="str">
        <f>HYPERLINK("http://slimages.macys.com/is/image/MCY/9566783 ")</f>
        <v xml:space="preserve">http://slimages.macys.com/is/image/MCY/9566783 </v>
      </c>
    </row>
    <row r="20" spans="1:12" ht="30" customHeight="1" x14ac:dyDescent="0.25">
      <c r="A20" s="5" t="s">
        <v>276</v>
      </c>
      <c r="B20" s="2" t="s">
        <v>277</v>
      </c>
      <c r="C20" s="3">
        <v>1</v>
      </c>
      <c r="D20" s="6">
        <v>114.99</v>
      </c>
      <c r="E20" s="3" t="s">
        <v>278</v>
      </c>
      <c r="F20" s="2" t="s">
        <v>2464</v>
      </c>
      <c r="G20" s="7" t="s">
        <v>2382</v>
      </c>
      <c r="H20" s="2" t="s">
        <v>2359</v>
      </c>
      <c r="I20" s="2" t="s">
        <v>2685</v>
      </c>
      <c r="J20" s="2" t="s">
        <v>2361</v>
      </c>
      <c r="K20" s="2" t="s">
        <v>2656</v>
      </c>
      <c r="L20" s="8" t="str">
        <f>HYPERLINK("http://slimages.macys.com/is/image/MCY/10673422 ")</f>
        <v xml:space="preserve">http://slimages.macys.com/is/image/MCY/10673422 </v>
      </c>
    </row>
    <row r="21" spans="1:12" ht="30" customHeight="1" x14ac:dyDescent="0.25">
      <c r="A21" s="5" t="s">
        <v>279</v>
      </c>
      <c r="B21" s="2" t="s">
        <v>243</v>
      </c>
      <c r="C21" s="3">
        <v>1</v>
      </c>
      <c r="D21" s="6">
        <v>99.99</v>
      </c>
      <c r="E21" s="3" t="s">
        <v>280</v>
      </c>
      <c r="F21" s="2" t="s">
        <v>2512</v>
      </c>
      <c r="G21" s="7" t="s">
        <v>3357</v>
      </c>
      <c r="H21" s="2" t="s">
        <v>1998</v>
      </c>
      <c r="I21" s="2" t="s">
        <v>3479</v>
      </c>
      <c r="J21" s="2" t="s">
        <v>2361</v>
      </c>
      <c r="K21" s="2" t="s">
        <v>262</v>
      </c>
      <c r="L21" s="8" t="str">
        <f>HYPERLINK("http://slimages.macys.com/is/image/MCY/2273991 ")</f>
        <v xml:space="preserve">http://slimages.macys.com/is/image/MCY/2273991 </v>
      </c>
    </row>
    <row r="22" spans="1:12" ht="30" customHeight="1" x14ac:dyDescent="0.25">
      <c r="A22" s="5" t="s">
        <v>281</v>
      </c>
      <c r="B22" s="2" t="s">
        <v>243</v>
      </c>
      <c r="C22" s="3">
        <v>2</v>
      </c>
      <c r="D22" s="6">
        <v>99.99</v>
      </c>
      <c r="E22" s="3">
        <v>650677393002</v>
      </c>
      <c r="F22" s="2" t="s">
        <v>2394</v>
      </c>
      <c r="G22" s="7" t="s">
        <v>3357</v>
      </c>
      <c r="H22" s="2" t="s">
        <v>1998</v>
      </c>
      <c r="I22" s="2" t="s">
        <v>3479</v>
      </c>
      <c r="J22" s="2" t="s">
        <v>2361</v>
      </c>
      <c r="K22" s="2" t="s">
        <v>2508</v>
      </c>
      <c r="L22" s="8" t="str">
        <f>HYPERLINK("http://images.bloomingdales.com/is/image/BLM/9699413 ")</f>
        <v xml:space="preserve">http://images.bloomingdales.com/is/image/BLM/9699413 </v>
      </c>
    </row>
    <row r="23" spans="1:12" ht="30" customHeight="1" x14ac:dyDescent="0.25">
      <c r="A23" s="5" t="s">
        <v>282</v>
      </c>
      <c r="B23" s="2" t="s">
        <v>1997</v>
      </c>
      <c r="C23" s="3">
        <v>1</v>
      </c>
      <c r="D23" s="6">
        <v>99.99</v>
      </c>
      <c r="E23" s="3">
        <v>650652338002</v>
      </c>
      <c r="F23" s="2" t="s">
        <v>2394</v>
      </c>
      <c r="G23" s="7" t="s">
        <v>2666</v>
      </c>
      <c r="H23" s="2" t="s">
        <v>1998</v>
      </c>
      <c r="I23" s="2" t="s">
        <v>3479</v>
      </c>
      <c r="J23" s="2" t="s">
        <v>2432</v>
      </c>
      <c r="K23" s="2" t="s">
        <v>2936</v>
      </c>
      <c r="L23" s="8" t="str">
        <f>HYPERLINK("http://images.bloomingdales.com/is/image/BLM/9397261 ")</f>
        <v xml:space="preserve">http://images.bloomingdales.com/is/image/BLM/9397261 </v>
      </c>
    </row>
    <row r="24" spans="1:12" ht="30" customHeight="1" x14ac:dyDescent="0.25">
      <c r="A24" s="5" t="s">
        <v>283</v>
      </c>
      <c r="B24" s="2" t="s">
        <v>1997</v>
      </c>
      <c r="C24" s="3">
        <v>2</v>
      </c>
      <c r="D24" s="6">
        <v>99.99</v>
      </c>
      <c r="E24" s="3">
        <v>650652338006</v>
      </c>
      <c r="F24" s="2" t="s">
        <v>2849</v>
      </c>
      <c r="G24" s="7" t="s">
        <v>2666</v>
      </c>
      <c r="H24" s="2" t="s">
        <v>1998</v>
      </c>
      <c r="I24" s="2" t="s">
        <v>3479</v>
      </c>
      <c r="J24" s="2" t="s">
        <v>2432</v>
      </c>
      <c r="K24" s="2" t="s">
        <v>2936</v>
      </c>
      <c r="L24" s="8" t="str">
        <f>HYPERLINK("http://images.bloomingdales.com/is/image/BLM/9397261 ")</f>
        <v xml:space="preserve">http://images.bloomingdales.com/is/image/BLM/9397261 </v>
      </c>
    </row>
    <row r="25" spans="1:12" ht="30" customHeight="1" x14ac:dyDescent="0.25">
      <c r="A25" s="5" t="s">
        <v>284</v>
      </c>
      <c r="B25" s="2" t="s">
        <v>1997</v>
      </c>
      <c r="C25" s="3">
        <v>1</v>
      </c>
      <c r="D25" s="6">
        <v>99.99</v>
      </c>
      <c r="E25" s="3">
        <v>650652338004</v>
      </c>
      <c r="F25" s="2" t="s">
        <v>2381</v>
      </c>
      <c r="G25" s="7" t="s">
        <v>2666</v>
      </c>
      <c r="H25" s="2" t="s">
        <v>1998</v>
      </c>
      <c r="I25" s="2" t="s">
        <v>3479</v>
      </c>
      <c r="J25" s="2" t="s">
        <v>2432</v>
      </c>
      <c r="K25" s="2" t="s">
        <v>2936</v>
      </c>
      <c r="L25" s="8" t="str">
        <f>HYPERLINK("http://images.bloomingdales.com/is/image/BLM/9397261 ")</f>
        <v xml:space="preserve">http://images.bloomingdales.com/is/image/BLM/9397261 </v>
      </c>
    </row>
    <row r="26" spans="1:12" ht="30" customHeight="1" x14ac:dyDescent="0.25">
      <c r="A26" s="5" t="s">
        <v>285</v>
      </c>
      <c r="B26" s="2" t="s">
        <v>286</v>
      </c>
      <c r="C26" s="3">
        <v>3</v>
      </c>
      <c r="D26" s="6">
        <v>99.99</v>
      </c>
      <c r="E26" s="3">
        <v>650738977004</v>
      </c>
      <c r="F26" s="2" t="s">
        <v>2381</v>
      </c>
      <c r="G26" s="7"/>
      <c r="H26" s="2" t="s">
        <v>1998</v>
      </c>
      <c r="I26" s="2" t="s">
        <v>3479</v>
      </c>
      <c r="J26" s="2" t="s">
        <v>2361</v>
      </c>
      <c r="K26" s="2" t="s">
        <v>2441</v>
      </c>
      <c r="L26" s="8" t="str">
        <f>HYPERLINK("http://images.bloomingdales.com/is/image/BLM/9987234 ")</f>
        <v xml:space="preserve">http://images.bloomingdales.com/is/image/BLM/9987234 </v>
      </c>
    </row>
    <row r="27" spans="1:12" ht="30" customHeight="1" x14ac:dyDescent="0.25">
      <c r="A27" s="5" t="s">
        <v>287</v>
      </c>
      <c r="B27" s="2" t="s">
        <v>243</v>
      </c>
      <c r="C27" s="3">
        <v>1</v>
      </c>
      <c r="D27" s="6">
        <v>99.99</v>
      </c>
      <c r="E27" s="3" t="s">
        <v>288</v>
      </c>
      <c r="F27" s="2" t="s">
        <v>2512</v>
      </c>
      <c r="G27" s="7" t="s">
        <v>289</v>
      </c>
      <c r="H27" s="2" t="s">
        <v>1998</v>
      </c>
      <c r="I27" s="2" t="s">
        <v>3479</v>
      </c>
      <c r="J27" s="2" t="s">
        <v>2361</v>
      </c>
      <c r="K27" s="2" t="s">
        <v>262</v>
      </c>
      <c r="L27" s="8" t="str">
        <f>HYPERLINK("http://slimages.macys.com/is/image/MCY/2273991 ")</f>
        <v xml:space="preserve">http://slimages.macys.com/is/image/MCY/2273991 </v>
      </c>
    </row>
    <row r="28" spans="1:12" ht="30" customHeight="1" x14ac:dyDescent="0.25">
      <c r="A28" s="5" t="s">
        <v>290</v>
      </c>
      <c r="B28" s="2" t="s">
        <v>291</v>
      </c>
      <c r="C28" s="3">
        <v>1</v>
      </c>
      <c r="D28" s="6">
        <v>111.99</v>
      </c>
      <c r="E28" s="3" t="s">
        <v>292</v>
      </c>
      <c r="F28" s="2" t="s">
        <v>2381</v>
      </c>
      <c r="G28" s="7"/>
      <c r="H28" s="2" t="s">
        <v>2359</v>
      </c>
      <c r="I28" s="2" t="s">
        <v>2803</v>
      </c>
      <c r="J28" s="2" t="s">
        <v>2361</v>
      </c>
      <c r="K28" s="2" t="s">
        <v>2377</v>
      </c>
      <c r="L28" s="8" t="str">
        <f>HYPERLINK("http://slimages.macys.com/is/image/MCY/12302413 ")</f>
        <v xml:space="preserve">http://slimages.macys.com/is/image/MCY/12302413 </v>
      </c>
    </row>
    <row r="29" spans="1:12" ht="30" customHeight="1" x14ac:dyDescent="0.25">
      <c r="A29" s="5" t="s">
        <v>293</v>
      </c>
      <c r="B29" s="2" t="s">
        <v>294</v>
      </c>
      <c r="C29" s="3">
        <v>1</v>
      </c>
      <c r="D29" s="6">
        <v>89.99</v>
      </c>
      <c r="E29" s="3" t="s">
        <v>295</v>
      </c>
      <c r="F29" s="2" t="s">
        <v>2374</v>
      </c>
      <c r="G29" s="7" t="s">
        <v>2666</v>
      </c>
      <c r="H29" s="2" t="s">
        <v>1998</v>
      </c>
      <c r="I29" s="2" t="s">
        <v>3479</v>
      </c>
      <c r="J29" s="2" t="s">
        <v>2361</v>
      </c>
      <c r="K29" s="2" t="s">
        <v>262</v>
      </c>
      <c r="L29" s="8" t="str">
        <f>HYPERLINK("http://slimages.macys.com/is/image/MCY/1690674 ")</f>
        <v xml:space="preserve">http://slimages.macys.com/is/image/MCY/1690674 </v>
      </c>
    </row>
    <row r="30" spans="1:12" ht="30" customHeight="1" x14ac:dyDescent="0.25">
      <c r="A30" s="5" t="s">
        <v>296</v>
      </c>
      <c r="B30" s="2" t="s">
        <v>1997</v>
      </c>
      <c r="C30" s="3">
        <v>1</v>
      </c>
      <c r="D30" s="6">
        <v>89.99</v>
      </c>
      <c r="E30" s="3">
        <v>650652328007</v>
      </c>
      <c r="F30" s="2" t="s">
        <v>2381</v>
      </c>
      <c r="G30" s="7" t="s">
        <v>297</v>
      </c>
      <c r="H30" s="2" t="s">
        <v>1998</v>
      </c>
      <c r="I30" s="2" t="s">
        <v>3479</v>
      </c>
      <c r="J30" s="2" t="s">
        <v>2432</v>
      </c>
      <c r="K30" s="2" t="s">
        <v>2936</v>
      </c>
      <c r="L30" s="8" t="str">
        <f>HYPERLINK("http://images.bloomingdales.com/is/image/BLM/9397261 ")</f>
        <v xml:space="preserve">http://images.bloomingdales.com/is/image/BLM/9397261 </v>
      </c>
    </row>
    <row r="31" spans="1:12" ht="30" customHeight="1" x14ac:dyDescent="0.25">
      <c r="A31" s="5" t="s">
        <v>298</v>
      </c>
      <c r="B31" s="2" t="s">
        <v>243</v>
      </c>
      <c r="C31" s="3">
        <v>2</v>
      </c>
      <c r="D31" s="6">
        <v>89.99</v>
      </c>
      <c r="E31" s="3">
        <v>650677388002</v>
      </c>
      <c r="F31" s="2" t="s">
        <v>2394</v>
      </c>
      <c r="G31" s="7"/>
      <c r="H31" s="2" t="s">
        <v>1998</v>
      </c>
      <c r="I31" s="2" t="s">
        <v>3479</v>
      </c>
      <c r="J31" s="2" t="s">
        <v>2361</v>
      </c>
      <c r="K31" s="2" t="s">
        <v>2508</v>
      </c>
      <c r="L31" s="8" t="str">
        <f>HYPERLINK("http://images.bloomingdales.com/is/image/BLM/9699413 ")</f>
        <v xml:space="preserve">http://images.bloomingdales.com/is/image/BLM/9699413 </v>
      </c>
    </row>
    <row r="32" spans="1:12" ht="30" customHeight="1" x14ac:dyDescent="0.25">
      <c r="A32" s="5" t="s">
        <v>299</v>
      </c>
      <c r="B32" s="2" t="s">
        <v>300</v>
      </c>
      <c r="C32" s="3">
        <v>1</v>
      </c>
      <c r="D32" s="6">
        <v>144.99</v>
      </c>
      <c r="E32" s="3" t="s">
        <v>301</v>
      </c>
      <c r="F32" s="2" t="s">
        <v>2394</v>
      </c>
      <c r="G32" s="7"/>
      <c r="H32" s="2" t="s">
        <v>2359</v>
      </c>
      <c r="I32" s="2" t="s">
        <v>2406</v>
      </c>
      <c r="J32" s="2" t="s">
        <v>2361</v>
      </c>
      <c r="K32" s="2" t="s">
        <v>302</v>
      </c>
      <c r="L32" s="8" t="str">
        <f>HYPERLINK("http://slimages.macys.com/is/image/MCY/12932135 ")</f>
        <v xml:space="preserve">http://slimages.macys.com/is/image/MCY/12932135 </v>
      </c>
    </row>
    <row r="33" spans="1:12" ht="30" customHeight="1" x14ac:dyDescent="0.25">
      <c r="A33" s="5" t="s">
        <v>303</v>
      </c>
      <c r="B33" s="2" t="s">
        <v>304</v>
      </c>
      <c r="C33" s="3">
        <v>1</v>
      </c>
      <c r="D33" s="6">
        <v>140.99</v>
      </c>
      <c r="E33" s="3" t="s">
        <v>305</v>
      </c>
      <c r="F33" s="2" t="s">
        <v>2418</v>
      </c>
      <c r="G33" s="7"/>
      <c r="H33" s="2" t="s">
        <v>2359</v>
      </c>
      <c r="I33" s="2" t="s">
        <v>2406</v>
      </c>
      <c r="J33" s="2" t="s">
        <v>2361</v>
      </c>
      <c r="K33" s="2" t="s">
        <v>3337</v>
      </c>
      <c r="L33" s="8" t="str">
        <f>HYPERLINK("http://slimages.macys.com/is/image/MCY/12490092 ")</f>
        <v xml:space="preserve">http://slimages.macys.com/is/image/MCY/12490092 </v>
      </c>
    </row>
    <row r="34" spans="1:12" ht="30" customHeight="1" x14ac:dyDescent="0.25">
      <c r="A34" s="5" t="s">
        <v>306</v>
      </c>
      <c r="B34" s="2" t="s">
        <v>307</v>
      </c>
      <c r="C34" s="3">
        <v>1</v>
      </c>
      <c r="D34" s="6">
        <v>99.99</v>
      </c>
      <c r="E34" s="3" t="s">
        <v>308</v>
      </c>
      <c r="F34" s="2" t="s">
        <v>3194</v>
      </c>
      <c r="G34" s="7"/>
      <c r="H34" s="2" t="s">
        <v>2675</v>
      </c>
      <c r="I34" s="2" t="s">
        <v>1897</v>
      </c>
      <c r="J34" s="2" t="s">
        <v>2361</v>
      </c>
      <c r="K34" s="2" t="s">
        <v>309</v>
      </c>
      <c r="L34" s="8" t="str">
        <f>HYPERLINK("http://slimages.macys.com/is/image/MCY/9408132 ")</f>
        <v xml:space="preserve">http://slimages.macys.com/is/image/MCY/9408132 </v>
      </c>
    </row>
    <row r="35" spans="1:12" ht="30" customHeight="1" x14ac:dyDescent="0.25">
      <c r="A35" s="5" t="s">
        <v>310</v>
      </c>
      <c r="B35" s="2" t="s">
        <v>243</v>
      </c>
      <c r="C35" s="3">
        <v>1</v>
      </c>
      <c r="D35" s="6">
        <v>79.989999999999995</v>
      </c>
      <c r="E35" s="3" t="s">
        <v>311</v>
      </c>
      <c r="F35" s="2" t="s">
        <v>2394</v>
      </c>
      <c r="G35" s="7"/>
      <c r="H35" s="2" t="s">
        <v>1998</v>
      </c>
      <c r="I35" s="2" t="s">
        <v>3479</v>
      </c>
      <c r="J35" s="2" t="s">
        <v>2361</v>
      </c>
      <c r="K35" s="2" t="s">
        <v>262</v>
      </c>
      <c r="L35" s="8" t="str">
        <f>HYPERLINK("http://slimages.macys.com/is/image/MCY/2273991 ")</f>
        <v xml:space="preserve">http://slimages.macys.com/is/image/MCY/2273991 </v>
      </c>
    </row>
    <row r="36" spans="1:12" ht="30" customHeight="1" x14ac:dyDescent="0.25">
      <c r="A36" s="5" t="s">
        <v>312</v>
      </c>
      <c r="B36" s="2" t="s">
        <v>243</v>
      </c>
      <c r="C36" s="3">
        <v>1</v>
      </c>
      <c r="D36" s="6">
        <v>79.989999999999995</v>
      </c>
      <c r="E36" s="3">
        <v>650677387002</v>
      </c>
      <c r="F36" s="2" t="s">
        <v>2394</v>
      </c>
      <c r="G36" s="7"/>
      <c r="H36" s="2" t="s">
        <v>1998</v>
      </c>
      <c r="I36" s="2" t="s">
        <v>3479</v>
      </c>
      <c r="J36" s="2" t="s">
        <v>2361</v>
      </c>
      <c r="K36" s="2" t="s">
        <v>2508</v>
      </c>
      <c r="L36" s="8" t="str">
        <f>HYPERLINK("http://images.bloomingdales.com/is/image/BLM/9699413 ")</f>
        <v xml:space="preserve">http://images.bloomingdales.com/is/image/BLM/9699413 </v>
      </c>
    </row>
    <row r="37" spans="1:12" ht="30" customHeight="1" x14ac:dyDescent="0.25">
      <c r="A37" s="5" t="s">
        <v>313</v>
      </c>
      <c r="B37" s="2" t="s">
        <v>314</v>
      </c>
      <c r="C37" s="3">
        <v>1</v>
      </c>
      <c r="D37" s="6">
        <v>79.989999999999995</v>
      </c>
      <c r="E37" s="3">
        <v>650738979006</v>
      </c>
      <c r="F37" s="2" t="s">
        <v>2381</v>
      </c>
      <c r="G37" s="7" t="s">
        <v>2518</v>
      </c>
      <c r="H37" s="2" t="s">
        <v>1998</v>
      </c>
      <c r="I37" s="2" t="s">
        <v>3479</v>
      </c>
      <c r="J37" s="2" t="s">
        <v>2361</v>
      </c>
      <c r="K37" s="2" t="s">
        <v>315</v>
      </c>
      <c r="L37" s="8" t="str">
        <f>HYPERLINK("http://images.bloomingdales.com/is/image/BLM/10005023 ")</f>
        <v xml:space="preserve">http://images.bloomingdales.com/is/image/BLM/10005023 </v>
      </c>
    </row>
    <row r="38" spans="1:12" ht="30" customHeight="1" x14ac:dyDescent="0.25">
      <c r="A38" s="5" t="s">
        <v>316</v>
      </c>
      <c r="B38" s="2" t="s">
        <v>243</v>
      </c>
      <c r="C38" s="3">
        <v>2</v>
      </c>
      <c r="D38" s="6">
        <v>79.989999999999995</v>
      </c>
      <c r="E38" s="3">
        <v>650511654001</v>
      </c>
      <c r="F38" s="2" t="s">
        <v>2849</v>
      </c>
      <c r="G38" s="7"/>
      <c r="H38" s="2" t="s">
        <v>1998</v>
      </c>
      <c r="I38" s="2" t="s">
        <v>3479</v>
      </c>
      <c r="J38" s="2" t="s">
        <v>2361</v>
      </c>
      <c r="K38" s="2" t="s">
        <v>262</v>
      </c>
      <c r="L38" s="8" t="str">
        <f>HYPERLINK("http://slimages.macys.com/is/image/MCY/2273991 ")</f>
        <v xml:space="preserve">http://slimages.macys.com/is/image/MCY/2273991 </v>
      </c>
    </row>
    <row r="39" spans="1:12" ht="30" customHeight="1" x14ac:dyDescent="0.25">
      <c r="A39" s="5" t="s">
        <v>3334</v>
      </c>
      <c r="B39" s="2" t="s">
        <v>3335</v>
      </c>
      <c r="C39" s="3">
        <v>1</v>
      </c>
      <c r="D39" s="6">
        <v>124.99</v>
      </c>
      <c r="E39" s="3" t="s">
        <v>3336</v>
      </c>
      <c r="F39" s="2" t="s">
        <v>2418</v>
      </c>
      <c r="G39" s="7"/>
      <c r="H39" s="2" t="s">
        <v>2359</v>
      </c>
      <c r="I39" s="2" t="s">
        <v>2406</v>
      </c>
      <c r="J39" s="2" t="s">
        <v>2361</v>
      </c>
      <c r="K39" s="2" t="s">
        <v>3337</v>
      </c>
      <c r="L39" s="8" t="str">
        <f>HYPERLINK("http://slimages.macys.com/is/image/MCY/12490006 ")</f>
        <v xml:space="preserve">http://slimages.macys.com/is/image/MCY/12490006 </v>
      </c>
    </row>
    <row r="40" spans="1:12" ht="30" customHeight="1" x14ac:dyDescent="0.25">
      <c r="A40" s="5" t="s">
        <v>317</v>
      </c>
      <c r="B40" s="2" t="s">
        <v>318</v>
      </c>
      <c r="C40" s="3">
        <v>1</v>
      </c>
      <c r="D40" s="6">
        <v>59.99</v>
      </c>
      <c r="E40" s="3" t="s">
        <v>319</v>
      </c>
      <c r="F40" s="2" t="s">
        <v>2458</v>
      </c>
      <c r="G40" s="7"/>
      <c r="H40" s="2" t="s">
        <v>2537</v>
      </c>
      <c r="I40" s="2" t="s">
        <v>3353</v>
      </c>
      <c r="J40" s="2" t="s">
        <v>2361</v>
      </c>
      <c r="K40" s="2"/>
      <c r="L40" s="8" t="str">
        <f>HYPERLINK("http://slimages.macys.com/is/image/MCY/9489120 ")</f>
        <v xml:space="preserve">http://slimages.macys.com/is/image/MCY/9489120 </v>
      </c>
    </row>
    <row r="41" spans="1:12" ht="30" customHeight="1" x14ac:dyDescent="0.25">
      <c r="A41" s="5" t="s">
        <v>320</v>
      </c>
      <c r="B41" s="2" t="s">
        <v>321</v>
      </c>
      <c r="C41" s="3">
        <v>1</v>
      </c>
      <c r="D41" s="6">
        <v>59.99</v>
      </c>
      <c r="E41" s="3" t="s">
        <v>322</v>
      </c>
      <c r="F41" s="2" t="s">
        <v>2374</v>
      </c>
      <c r="G41" s="7"/>
      <c r="H41" s="2" t="s">
        <v>2537</v>
      </c>
      <c r="I41" s="2" t="s">
        <v>3353</v>
      </c>
      <c r="J41" s="2" t="s">
        <v>2361</v>
      </c>
      <c r="K41" s="2"/>
      <c r="L41" s="8" t="str">
        <f>HYPERLINK("http://slimages.macys.com/is/image/MCY/9489120 ")</f>
        <v xml:space="preserve">http://slimages.macys.com/is/image/MCY/9489120 </v>
      </c>
    </row>
    <row r="42" spans="1:12" ht="30" customHeight="1" x14ac:dyDescent="0.25">
      <c r="A42" s="5" t="s">
        <v>323</v>
      </c>
      <c r="B42" s="2" t="s">
        <v>324</v>
      </c>
      <c r="C42" s="3">
        <v>1</v>
      </c>
      <c r="D42" s="6">
        <v>59.99</v>
      </c>
      <c r="E42" s="3" t="s">
        <v>325</v>
      </c>
      <c r="F42" s="2" t="s">
        <v>2418</v>
      </c>
      <c r="G42" s="7"/>
      <c r="H42" s="2" t="s">
        <v>2537</v>
      </c>
      <c r="I42" s="2" t="s">
        <v>3353</v>
      </c>
      <c r="J42" s="2" t="s">
        <v>2361</v>
      </c>
      <c r="K42" s="2"/>
      <c r="L42" s="8" t="str">
        <f>HYPERLINK("http://slimages.macys.com/is/image/MCY/8433247 ")</f>
        <v xml:space="preserve">http://slimages.macys.com/is/image/MCY/8433247 </v>
      </c>
    </row>
    <row r="43" spans="1:12" ht="30" customHeight="1" x14ac:dyDescent="0.25">
      <c r="A43" s="5" t="s">
        <v>326</v>
      </c>
      <c r="B43" s="2" t="s">
        <v>327</v>
      </c>
      <c r="C43" s="3">
        <v>2</v>
      </c>
      <c r="D43" s="6">
        <v>83.99</v>
      </c>
      <c r="E43" s="3" t="s">
        <v>328</v>
      </c>
      <c r="F43" s="2" t="s">
        <v>2381</v>
      </c>
      <c r="G43" s="7"/>
      <c r="H43" s="2" t="s">
        <v>2419</v>
      </c>
      <c r="I43" s="2" t="s">
        <v>3329</v>
      </c>
      <c r="J43" s="2" t="s">
        <v>2361</v>
      </c>
      <c r="K43" s="2" t="s">
        <v>2377</v>
      </c>
      <c r="L43" s="8" t="str">
        <f>HYPERLINK("http://slimages.macys.com/is/image/MCY/12210128 ")</f>
        <v xml:space="preserve">http://slimages.macys.com/is/image/MCY/12210128 </v>
      </c>
    </row>
    <row r="44" spans="1:12" ht="30" customHeight="1" x14ac:dyDescent="0.25">
      <c r="A44" s="5" t="s">
        <v>329</v>
      </c>
      <c r="B44" s="2" t="s">
        <v>330</v>
      </c>
      <c r="C44" s="3">
        <v>1</v>
      </c>
      <c r="D44" s="6">
        <v>79.989999999999995</v>
      </c>
      <c r="E44" s="3" t="s">
        <v>331</v>
      </c>
      <c r="F44" s="2" t="s">
        <v>1147</v>
      </c>
      <c r="G44" s="7"/>
      <c r="H44" s="2" t="s">
        <v>1844</v>
      </c>
      <c r="I44" s="2" t="s">
        <v>1845</v>
      </c>
      <c r="J44" s="2" t="s">
        <v>2361</v>
      </c>
      <c r="K44" s="2"/>
      <c r="L44" s="8" t="str">
        <f>HYPERLINK("http://slimages.macys.com/is/image/MCY/9976363 ")</f>
        <v xml:space="preserve">http://slimages.macys.com/is/image/MCY/9976363 </v>
      </c>
    </row>
    <row r="45" spans="1:12" ht="30" customHeight="1" x14ac:dyDescent="0.25">
      <c r="A45" s="5" t="s">
        <v>332</v>
      </c>
      <c r="B45" s="2" t="s">
        <v>333</v>
      </c>
      <c r="C45" s="3">
        <v>1</v>
      </c>
      <c r="D45" s="6">
        <v>49.99</v>
      </c>
      <c r="E45" s="3" t="s">
        <v>334</v>
      </c>
      <c r="F45" s="2" t="s">
        <v>2374</v>
      </c>
      <c r="G45" s="7"/>
      <c r="H45" s="2" t="s">
        <v>2537</v>
      </c>
      <c r="I45" s="2" t="s">
        <v>3353</v>
      </c>
      <c r="J45" s="2" t="s">
        <v>2361</v>
      </c>
      <c r="K45" s="2" t="s">
        <v>2441</v>
      </c>
      <c r="L45" s="8" t="str">
        <f>HYPERLINK("http://slimages.macys.com/is/image/MCY/10023923 ")</f>
        <v xml:space="preserve">http://slimages.macys.com/is/image/MCY/10023923 </v>
      </c>
    </row>
    <row r="46" spans="1:12" ht="30" customHeight="1" x14ac:dyDescent="0.25">
      <c r="A46" s="5" t="s">
        <v>335</v>
      </c>
      <c r="B46" s="2" t="s">
        <v>336</v>
      </c>
      <c r="C46" s="3">
        <v>1</v>
      </c>
      <c r="D46" s="6">
        <v>49.99</v>
      </c>
      <c r="E46" s="3">
        <v>17219338</v>
      </c>
      <c r="F46" s="2" t="s">
        <v>2440</v>
      </c>
      <c r="G46" s="7"/>
      <c r="H46" s="2" t="s">
        <v>2537</v>
      </c>
      <c r="I46" s="2" t="s">
        <v>2447</v>
      </c>
      <c r="J46" s="2" t="s">
        <v>2361</v>
      </c>
      <c r="K46" s="2" t="s">
        <v>2397</v>
      </c>
      <c r="L46" s="8" t="str">
        <f>HYPERLINK("http://slimages.macys.com/is/image/MCY/8314160 ")</f>
        <v xml:space="preserve">http://slimages.macys.com/is/image/MCY/8314160 </v>
      </c>
    </row>
    <row r="47" spans="1:12" ht="30" customHeight="1" x14ac:dyDescent="0.25">
      <c r="A47" s="5" t="s">
        <v>337</v>
      </c>
      <c r="B47" s="2" t="s">
        <v>338</v>
      </c>
      <c r="C47" s="3">
        <v>1</v>
      </c>
      <c r="D47" s="6">
        <v>49.99</v>
      </c>
      <c r="E47" s="3">
        <v>17221338</v>
      </c>
      <c r="F47" s="2" t="s">
        <v>339</v>
      </c>
      <c r="G47" s="7"/>
      <c r="H47" s="2" t="s">
        <v>2537</v>
      </c>
      <c r="I47" s="2" t="s">
        <v>2447</v>
      </c>
      <c r="J47" s="2" t="s">
        <v>2361</v>
      </c>
      <c r="K47" s="2" t="s">
        <v>2397</v>
      </c>
      <c r="L47" s="8" t="str">
        <f>HYPERLINK("http://slimages.macys.com/is/image/MCY/8314160 ")</f>
        <v xml:space="preserve">http://slimages.macys.com/is/image/MCY/8314160 </v>
      </c>
    </row>
    <row r="48" spans="1:12" ht="30" customHeight="1" x14ac:dyDescent="0.25">
      <c r="A48" s="5" t="s">
        <v>340</v>
      </c>
      <c r="B48" s="2" t="s">
        <v>1997</v>
      </c>
      <c r="C48" s="3">
        <v>1</v>
      </c>
      <c r="D48" s="6">
        <v>69.989999999999995</v>
      </c>
      <c r="E48" s="3">
        <v>650664403002</v>
      </c>
      <c r="F48" s="2" t="s">
        <v>2394</v>
      </c>
      <c r="G48" s="7" t="s">
        <v>341</v>
      </c>
      <c r="H48" s="2" t="s">
        <v>1998</v>
      </c>
      <c r="I48" s="2" t="s">
        <v>3479</v>
      </c>
      <c r="J48" s="2" t="s">
        <v>2432</v>
      </c>
      <c r="K48" s="2" t="s">
        <v>342</v>
      </c>
      <c r="L48" s="8" t="str">
        <f>HYPERLINK("http://images.bloomingdales.com/is/image/BLM/9383875 ")</f>
        <v xml:space="preserve">http://images.bloomingdales.com/is/image/BLM/9383875 </v>
      </c>
    </row>
    <row r="49" spans="1:12" ht="30" customHeight="1" x14ac:dyDescent="0.25">
      <c r="A49" s="5" t="s">
        <v>343</v>
      </c>
      <c r="B49" s="2" t="s">
        <v>344</v>
      </c>
      <c r="C49" s="3">
        <v>1</v>
      </c>
      <c r="D49" s="6">
        <v>55.99</v>
      </c>
      <c r="E49" s="3" t="s">
        <v>345</v>
      </c>
      <c r="F49" s="2" t="s">
        <v>2605</v>
      </c>
      <c r="G49" s="7"/>
      <c r="H49" s="2" t="s">
        <v>2419</v>
      </c>
      <c r="I49" s="2" t="s">
        <v>2406</v>
      </c>
      <c r="J49" s="2" t="s">
        <v>2361</v>
      </c>
      <c r="K49" s="2" t="s">
        <v>2377</v>
      </c>
      <c r="L49" s="8" t="str">
        <f>HYPERLINK("http://slimages.macys.com/is/image/MCY/9775066 ")</f>
        <v xml:space="preserve">http://slimages.macys.com/is/image/MCY/9775066 </v>
      </c>
    </row>
    <row r="50" spans="1:12" ht="30" customHeight="1" x14ac:dyDescent="0.25">
      <c r="A50" s="5" t="s">
        <v>346</v>
      </c>
      <c r="B50" s="2" t="s">
        <v>347</v>
      </c>
      <c r="C50" s="3">
        <v>2</v>
      </c>
      <c r="D50" s="6">
        <v>74.989999999999995</v>
      </c>
      <c r="E50" s="3" t="s">
        <v>348</v>
      </c>
      <c r="F50" s="2" t="s">
        <v>2374</v>
      </c>
      <c r="G50" s="7"/>
      <c r="H50" s="2" t="s">
        <v>2419</v>
      </c>
      <c r="I50" s="2" t="s">
        <v>3329</v>
      </c>
      <c r="J50" s="2" t="s">
        <v>2361</v>
      </c>
      <c r="K50" s="2" t="s">
        <v>2377</v>
      </c>
      <c r="L50" s="8" t="str">
        <f>HYPERLINK("http://slimages.macys.com/is/image/MCY/12210061 ")</f>
        <v xml:space="preserve">http://slimages.macys.com/is/image/MCY/12210061 </v>
      </c>
    </row>
    <row r="51" spans="1:12" ht="30" customHeight="1" x14ac:dyDescent="0.25">
      <c r="A51" s="5" t="s">
        <v>349</v>
      </c>
      <c r="B51" s="2" t="s">
        <v>350</v>
      </c>
      <c r="C51" s="3">
        <v>1</v>
      </c>
      <c r="D51" s="6">
        <v>45.99</v>
      </c>
      <c r="E51" s="3" t="s">
        <v>351</v>
      </c>
      <c r="F51" s="2" t="s">
        <v>2394</v>
      </c>
      <c r="G51" s="7"/>
      <c r="H51" s="2" t="s">
        <v>2537</v>
      </c>
      <c r="I51" s="2" t="s">
        <v>3353</v>
      </c>
      <c r="J51" s="2" t="s">
        <v>2361</v>
      </c>
      <c r="K51" s="2"/>
      <c r="L51" s="8" t="str">
        <f>HYPERLINK("http://slimages.macys.com/is/image/MCY/10155687 ")</f>
        <v xml:space="preserve">http://slimages.macys.com/is/image/MCY/10155687 </v>
      </c>
    </row>
    <row r="52" spans="1:12" ht="30" customHeight="1" x14ac:dyDescent="0.25">
      <c r="A52" s="5" t="s">
        <v>352</v>
      </c>
      <c r="B52" s="2" t="s">
        <v>353</v>
      </c>
      <c r="C52" s="3">
        <v>1</v>
      </c>
      <c r="D52" s="6">
        <v>77.989999999999995</v>
      </c>
      <c r="E52" s="3" t="s">
        <v>354</v>
      </c>
      <c r="F52" s="2" t="s">
        <v>2622</v>
      </c>
      <c r="G52" s="7"/>
      <c r="H52" s="2" t="s">
        <v>2359</v>
      </c>
      <c r="I52" s="2" t="s">
        <v>2803</v>
      </c>
      <c r="J52" s="2" t="s">
        <v>2361</v>
      </c>
      <c r="K52" s="2" t="s">
        <v>355</v>
      </c>
      <c r="L52" s="8" t="str">
        <f>HYPERLINK("http://slimages.macys.com/is/image/MCY/10005647 ")</f>
        <v xml:space="preserve">http://slimages.macys.com/is/image/MCY/10005647 </v>
      </c>
    </row>
    <row r="53" spans="1:12" ht="30" customHeight="1" x14ac:dyDescent="0.25">
      <c r="A53" s="5" t="s">
        <v>356</v>
      </c>
      <c r="B53" s="2" t="s">
        <v>357</v>
      </c>
      <c r="C53" s="3">
        <v>1</v>
      </c>
      <c r="D53" s="6">
        <v>49.99</v>
      </c>
      <c r="E53" s="3" t="s">
        <v>358</v>
      </c>
      <c r="F53" s="2" t="s">
        <v>2418</v>
      </c>
      <c r="G53" s="7"/>
      <c r="H53" s="2" t="s">
        <v>2537</v>
      </c>
      <c r="I53" s="2" t="s">
        <v>3353</v>
      </c>
      <c r="J53" s="2" t="s">
        <v>2361</v>
      </c>
      <c r="K53" s="2"/>
      <c r="L53" s="8" t="str">
        <f>HYPERLINK("http://slimages.macys.com/is/image/MCY/10023923 ")</f>
        <v xml:space="preserve">http://slimages.macys.com/is/image/MCY/10023923 </v>
      </c>
    </row>
    <row r="54" spans="1:12" ht="30" customHeight="1" x14ac:dyDescent="0.25">
      <c r="A54" s="5" t="s">
        <v>359</v>
      </c>
      <c r="B54" s="2" t="s">
        <v>360</v>
      </c>
      <c r="C54" s="3">
        <v>2</v>
      </c>
      <c r="D54" s="6">
        <v>49.99</v>
      </c>
      <c r="E54" s="3" t="s">
        <v>361</v>
      </c>
      <c r="F54" s="2" t="s">
        <v>2358</v>
      </c>
      <c r="G54" s="7"/>
      <c r="H54" s="2" t="s">
        <v>2537</v>
      </c>
      <c r="I54" s="2" t="s">
        <v>3353</v>
      </c>
      <c r="J54" s="2" t="s">
        <v>2361</v>
      </c>
      <c r="K54" s="2"/>
      <c r="L54" s="8" t="str">
        <f>HYPERLINK("http://slimages.macys.com/is/image/MCY/10023923 ")</f>
        <v xml:space="preserve">http://slimages.macys.com/is/image/MCY/10023923 </v>
      </c>
    </row>
    <row r="55" spans="1:12" ht="30" customHeight="1" x14ac:dyDescent="0.25">
      <c r="A55" s="5" t="s">
        <v>362</v>
      </c>
      <c r="B55" s="2" t="s">
        <v>363</v>
      </c>
      <c r="C55" s="3">
        <v>1</v>
      </c>
      <c r="D55" s="6">
        <v>68.989999999999995</v>
      </c>
      <c r="E55" s="3" t="s">
        <v>364</v>
      </c>
      <c r="F55" s="2" t="s">
        <v>2366</v>
      </c>
      <c r="G55" s="7"/>
      <c r="H55" s="2" t="s">
        <v>2359</v>
      </c>
      <c r="I55" s="2" t="s">
        <v>2406</v>
      </c>
      <c r="J55" s="2" t="s">
        <v>2361</v>
      </c>
      <c r="K55" s="2" t="s">
        <v>2623</v>
      </c>
      <c r="L55" s="8" t="str">
        <f>HYPERLINK("http://slimages.macys.com/is/image/MCY/9798731 ")</f>
        <v xml:space="preserve">http://slimages.macys.com/is/image/MCY/9798731 </v>
      </c>
    </row>
    <row r="56" spans="1:12" ht="30" customHeight="1" x14ac:dyDescent="0.25">
      <c r="A56" s="5" t="s">
        <v>365</v>
      </c>
      <c r="B56" s="2" t="s">
        <v>366</v>
      </c>
      <c r="C56" s="3">
        <v>1</v>
      </c>
      <c r="D56" s="6">
        <v>59.99</v>
      </c>
      <c r="E56" s="3" t="s">
        <v>367</v>
      </c>
      <c r="F56" s="2"/>
      <c r="G56" s="7"/>
      <c r="H56" s="2" t="s">
        <v>2359</v>
      </c>
      <c r="I56" s="2" t="s">
        <v>2406</v>
      </c>
      <c r="J56" s="2" t="s">
        <v>2361</v>
      </c>
      <c r="K56" s="2" t="s">
        <v>368</v>
      </c>
      <c r="L56" s="8" t="str">
        <f>HYPERLINK("http://slimages.macys.com/is/image/MCY/10073975 ")</f>
        <v xml:space="preserve">http://slimages.macys.com/is/image/MCY/10073975 </v>
      </c>
    </row>
    <row r="57" spans="1:12" ht="30" customHeight="1" x14ac:dyDescent="0.25">
      <c r="A57" s="5" t="s">
        <v>369</v>
      </c>
      <c r="B57" s="2" t="s">
        <v>370</v>
      </c>
      <c r="C57" s="3">
        <v>1</v>
      </c>
      <c r="D57" s="6">
        <v>59.99</v>
      </c>
      <c r="E57" s="3" t="s">
        <v>371</v>
      </c>
      <c r="F57" s="2" t="s">
        <v>2374</v>
      </c>
      <c r="G57" s="7"/>
      <c r="H57" s="2" t="s">
        <v>2359</v>
      </c>
      <c r="I57" s="2" t="s">
        <v>2406</v>
      </c>
      <c r="J57" s="2" t="s">
        <v>2361</v>
      </c>
      <c r="K57" s="2"/>
      <c r="L57" s="8" t="str">
        <f>HYPERLINK("http://slimages.macys.com/is/image/MCY/10073957 ")</f>
        <v xml:space="preserve">http://slimages.macys.com/is/image/MCY/10073957 </v>
      </c>
    </row>
    <row r="58" spans="1:12" ht="30" customHeight="1" x14ac:dyDescent="0.25">
      <c r="A58" s="5" t="s">
        <v>372</v>
      </c>
      <c r="B58" s="2" t="s">
        <v>373</v>
      </c>
      <c r="C58" s="3">
        <v>1</v>
      </c>
      <c r="D58" s="6">
        <v>79.989999999999995</v>
      </c>
      <c r="E58" s="3">
        <v>847636024020</v>
      </c>
      <c r="F58" s="2"/>
      <c r="G58" s="7" t="s">
        <v>2382</v>
      </c>
      <c r="H58" s="2" t="s">
        <v>2359</v>
      </c>
      <c r="I58" s="2" t="s">
        <v>3533</v>
      </c>
      <c r="J58" s="2" t="s">
        <v>2361</v>
      </c>
      <c r="K58" s="2" t="s">
        <v>2607</v>
      </c>
      <c r="L58" s="8" t="str">
        <f>HYPERLINK("http://slimages.macys.com/is/image/MCY/9702478 ")</f>
        <v xml:space="preserve">http://slimages.macys.com/is/image/MCY/9702478 </v>
      </c>
    </row>
    <row r="59" spans="1:12" ht="30" customHeight="1" x14ac:dyDescent="0.25">
      <c r="A59" s="5" t="s">
        <v>374</v>
      </c>
      <c r="B59" s="2" t="s">
        <v>375</v>
      </c>
      <c r="C59" s="3">
        <v>1</v>
      </c>
      <c r="D59" s="6">
        <v>64.989999999999995</v>
      </c>
      <c r="E59" s="3" t="s">
        <v>376</v>
      </c>
      <c r="F59" s="2" t="s">
        <v>2374</v>
      </c>
      <c r="G59" s="7" t="s">
        <v>2995</v>
      </c>
      <c r="H59" s="2" t="s">
        <v>2412</v>
      </c>
      <c r="I59" s="2" t="s">
        <v>2413</v>
      </c>
      <c r="J59" s="2" t="s">
        <v>2361</v>
      </c>
      <c r="K59" s="2" t="s">
        <v>2706</v>
      </c>
      <c r="L59" s="8" t="str">
        <f>HYPERLINK("http://slimages.macys.com/is/image/MCY/15059930 ")</f>
        <v xml:space="preserve">http://slimages.macys.com/is/image/MCY/15059930 </v>
      </c>
    </row>
    <row r="60" spans="1:12" ht="30" customHeight="1" x14ac:dyDescent="0.25">
      <c r="A60" s="5" t="s">
        <v>1383</v>
      </c>
      <c r="B60" s="2" t="s">
        <v>377</v>
      </c>
      <c r="C60" s="3">
        <v>1</v>
      </c>
      <c r="D60" s="6">
        <v>49.99</v>
      </c>
      <c r="E60" s="3" t="s">
        <v>1385</v>
      </c>
      <c r="F60" s="2" t="s">
        <v>2394</v>
      </c>
      <c r="G60" s="7"/>
      <c r="H60" s="2" t="s">
        <v>2537</v>
      </c>
      <c r="I60" s="2" t="s">
        <v>3353</v>
      </c>
      <c r="J60" s="2" t="s">
        <v>2361</v>
      </c>
      <c r="K60" s="2" t="s">
        <v>2441</v>
      </c>
      <c r="L60" s="8" t="str">
        <f>HYPERLINK("http://slimages.macys.com/is/image/MCY/10155687 ")</f>
        <v xml:space="preserve">http://slimages.macys.com/is/image/MCY/10155687 </v>
      </c>
    </row>
    <row r="61" spans="1:12" ht="30" customHeight="1" x14ac:dyDescent="0.25">
      <c r="A61" s="5" t="s">
        <v>378</v>
      </c>
      <c r="B61" s="2" t="s">
        <v>379</v>
      </c>
      <c r="C61" s="3">
        <v>1</v>
      </c>
      <c r="D61" s="6">
        <v>69.989999999999995</v>
      </c>
      <c r="E61" s="3" t="s">
        <v>1119</v>
      </c>
      <c r="F61" s="2" t="s">
        <v>2605</v>
      </c>
      <c r="G61" s="7"/>
      <c r="H61" s="2" t="s">
        <v>2473</v>
      </c>
      <c r="I61" s="2" t="s">
        <v>2474</v>
      </c>
      <c r="J61" s="2" t="s">
        <v>2361</v>
      </c>
      <c r="K61" s="2"/>
      <c r="L61" s="8" t="str">
        <f>HYPERLINK("http://slimages.macys.com/is/image/MCY/9965724 ")</f>
        <v xml:space="preserve">http://slimages.macys.com/is/image/MCY/9965724 </v>
      </c>
    </row>
    <row r="62" spans="1:12" ht="30" customHeight="1" x14ac:dyDescent="0.25">
      <c r="A62" s="5" t="s">
        <v>380</v>
      </c>
      <c r="B62" s="2" t="s">
        <v>381</v>
      </c>
      <c r="C62" s="3">
        <v>2</v>
      </c>
      <c r="D62" s="6">
        <v>40.99</v>
      </c>
      <c r="E62" s="3">
        <v>19355332</v>
      </c>
      <c r="F62" s="2" t="s">
        <v>3485</v>
      </c>
      <c r="G62" s="7"/>
      <c r="H62" s="2" t="s">
        <v>2537</v>
      </c>
      <c r="I62" s="2" t="s">
        <v>2447</v>
      </c>
      <c r="J62" s="2" t="s">
        <v>2361</v>
      </c>
      <c r="K62" s="2"/>
      <c r="L62" s="8" t="str">
        <f>HYPERLINK("http://slimages.macys.com/is/image/MCY/10010890 ")</f>
        <v xml:space="preserve">http://slimages.macys.com/is/image/MCY/10010890 </v>
      </c>
    </row>
    <row r="63" spans="1:12" ht="30" customHeight="1" x14ac:dyDescent="0.25">
      <c r="A63" s="5" t="s">
        <v>2078</v>
      </c>
      <c r="B63" s="2" t="s">
        <v>382</v>
      </c>
      <c r="C63" s="3">
        <v>1</v>
      </c>
      <c r="D63" s="6">
        <v>40.99</v>
      </c>
      <c r="E63" s="3">
        <v>19353332</v>
      </c>
      <c r="F63" s="2" t="s">
        <v>2381</v>
      </c>
      <c r="G63" s="7"/>
      <c r="H63" s="2" t="s">
        <v>2537</v>
      </c>
      <c r="I63" s="2" t="s">
        <v>2447</v>
      </c>
      <c r="J63" s="2" t="s">
        <v>2361</v>
      </c>
      <c r="K63" s="2"/>
      <c r="L63" s="8" t="str">
        <f>HYPERLINK("http://slimages.macys.com/is/image/MCY/10010890 ")</f>
        <v xml:space="preserve">http://slimages.macys.com/is/image/MCY/10010890 </v>
      </c>
    </row>
    <row r="64" spans="1:12" ht="30" customHeight="1" x14ac:dyDescent="0.25">
      <c r="A64" s="5" t="s">
        <v>2082</v>
      </c>
      <c r="B64" s="2" t="s">
        <v>383</v>
      </c>
      <c r="C64" s="3">
        <v>1</v>
      </c>
      <c r="D64" s="6">
        <v>39.99</v>
      </c>
      <c r="E64" s="3">
        <v>19460338</v>
      </c>
      <c r="F64" s="2" t="s">
        <v>3157</v>
      </c>
      <c r="G64" s="7"/>
      <c r="H64" s="2" t="s">
        <v>2537</v>
      </c>
      <c r="I64" s="2" t="s">
        <v>2447</v>
      </c>
      <c r="J64" s="2" t="s">
        <v>2361</v>
      </c>
      <c r="K64" s="2" t="s">
        <v>2441</v>
      </c>
      <c r="L64" s="8" t="str">
        <f>HYPERLINK("http://slimages.macys.com/is/image/MCY/10307233 ")</f>
        <v xml:space="preserve">http://slimages.macys.com/is/image/MCY/10307233 </v>
      </c>
    </row>
    <row r="65" spans="1:12" ht="30" customHeight="1" x14ac:dyDescent="0.25">
      <c r="A65" s="5" t="s">
        <v>384</v>
      </c>
      <c r="B65" s="2" t="s">
        <v>385</v>
      </c>
      <c r="C65" s="3">
        <v>1</v>
      </c>
      <c r="D65" s="6">
        <v>67.989999999999995</v>
      </c>
      <c r="E65" s="3" t="s">
        <v>386</v>
      </c>
      <c r="F65" s="2"/>
      <c r="G65" s="7" t="s">
        <v>3371</v>
      </c>
      <c r="H65" s="2" t="s">
        <v>2359</v>
      </c>
      <c r="I65" s="2" t="s">
        <v>2727</v>
      </c>
      <c r="J65" s="2" t="s">
        <v>2361</v>
      </c>
      <c r="K65" s="2" t="s">
        <v>2656</v>
      </c>
      <c r="L65" s="8" t="str">
        <f>HYPERLINK("http://slimages.macys.com/is/image/MCY/11620387 ")</f>
        <v xml:space="preserve">http://slimages.macys.com/is/image/MCY/11620387 </v>
      </c>
    </row>
    <row r="66" spans="1:12" ht="30" customHeight="1" x14ac:dyDescent="0.25">
      <c r="A66" s="5" t="s">
        <v>387</v>
      </c>
      <c r="B66" s="2" t="s">
        <v>388</v>
      </c>
      <c r="C66" s="3">
        <v>1</v>
      </c>
      <c r="D66" s="6">
        <v>46.99</v>
      </c>
      <c r="E66" s="3" t="s">
        <v>389</v>
      </c>
      <c r="F66" s="2" t="s">
        <v>2458</v>
      </c>
      <c r="G66" s="7"/>
      <c r="H66" s="2" t="s">
        <v>2419</v>
      </c>
      <c r="I66" s="2" t="s">
        <v>1125</v>
      </c>
      <c r="J66" s="2" t="s">
        <v>2361</v>
      </c>
      <c r="K66" s="2"/>
      <c r="L66" s="8" t="str">
        <f>HYPERLINK("http://slimages.macys.com/is/image/MCY/9659834 ")</f>
        <v xml:space="preserve">http://slimages.macys.com/is/image/MCY/9659834 </v>
      </c>
    </row>
    <row r="67" spans="1:12" ht="30" customHeight="1" x14ac:dyDescent="0.25">
      <c r="A67" s="5" t="s">
        <v>390</v>
      </c>
      <c r="B67" s="2" t="s">
        <v>391</v>
      </c>
      <c r="C67" s="3">
        <v>1</v>
      </c>
      <c r="D67" s="6">
        <v>49.99</v>
      </c>
      <c r="E67" s="3" t="s">
        <v>392</v>
      </c>
      <c r="F67" s="2" t="s">
        <v>3194</v>
      </c>
      <c r="G67" s="7" t="s">
        <v>3039</v>
      </c>
      <c r="H67" s="2" t="s">
        <v>2375</v>
      </c>
      <c r="I67" s="2" t="s">
        <v>2376</v>
      </c>
      <c r="J67" s="2" t="s">
        <v>2361</v>
      </c>
      <c r="K67" s="2" t="s">
        <v>2377</v>
      </c>
      <c r="L67" s="8" t="str">
        <f>HYPERLINK("http://slimages.macys.com/is/image/MCY/9090816 ")</f>
        <v xml:space="preserve">http://slimages.macys.com/is/image/MCY/9090816 </v>
      </c>
    </row>
    <row r="68" spans="1:12" ht="30" customHeight="1" x14ac:dyDescent="0.25">
      <c r="A68" s="5" t="s">
        <v>393</v>
      </c>
      <c r="B68" s="2" t="s">
        <v>394</v>
      </c>
      <c r="C68" s="3">
        <v>1</v>
      </c>
      <c r="D68" s="6">
        <v>39.99</v>
      </c>
      <c r="E68" s="3">
        <v>19354232</v>
      </c>
      <c r="F68" s="2" t="s">
        <v>2440</v>
      </c>
      <c r="G68" s="7"/>
      <c r="H68" s="2" t="s">
        <v>2537</v>
      </c>
      <c r="I68" s="2" t="s">
        <v>2447</v>
      </c>
      <c r="J68" s="2" t="s">
        <v>2361</v>
      </c>
      <c r="K68" s="2"/>
      <c r="L68" s="8" t="str">
        <f>HYPERLINK("http://slimages.macys.com/is/image/MCY/10010890 ")</f>
        <v xml:space="preserve">http://slimages.macys.com/is/image/MCY/10010890 </v>
      </c>
    </row>
    <row r="69" spans="1:12" ht="30" customHeight="1" x14ac:dyDescent="0.25">
      <c r="A69" s="5" t="s">
        <v>395</v>
      </c>
      <c r="B69" s="2" t="s">
        <v>396</v>
      </c>
      <c r="C69" s="3">
        <v>1</v>
      </c>
      <c r="D69" s="6">
        <v>39.99</v>
      </c>
      <c r="E69" s="3">
        <v>19353232</v>
      </c>
      <c r="F69" s="2" t="s">
        <v>2381</v>
      </c>
      <c r="G69" s="7"/>
      <c r="H69" s="2" t="s">
        <v>2537</v>
      </c>
      <c r="I69" s="2" t="s">
        <v>2447</v>
      </c>
      <c r="J69" s="2" t="s">
        <v>2361</v>
      </c>
      <c r="K69" s="2"/>
      <c r="L69" s="8" t="str">
        <f>HYPERLINK("http://slimages.macys.com/is/image/MCY/10010890 ")</f>
        <v xml:space="preserve">http://slimages.macys.com/is/image/MCY/10010890 </v>
      </c>
    </row>
    <row r="70" spans="1:12" ht="30" customHeight="1" x14ac:dyDescent="0.25">
      <c r="A70" s="5" t="s">
        <v>397</v>
      </c>
      <c r="B70" s="2" t="s">
        <v>398</v>
      </c>
      <c r="C70" s="3">
        <v>1</v>
      </c>
      <c r="D70" s="6">
        <v>39.99</v>
      </c>
      <c r="E70" s="3">
        <v>19356232</v>
      </c>
      <c r="F70" s="2" t="s">
        <v>2793</v>
      </c>
      <c r="G70" s="7"/>
      <c r="H70" s="2" t="s">
        <v>2537</v>
      </c>
      <c r="I70" s="2" t="s">
        <v>2447</v>
      </c>
      <c r="J70" s="2" t="s">
        <v>2361</v>
      </c>
      <c r="K70" s="2"/>
      <c r="L70" s="8" t="str">
        <f>HYPERLINK("http://slimages.macys.com/is/image/MCY/10010890 ")</f>
        <v xml:space="preserve">http://slimages.macys.com/is/image/MCY/10010890 </v>
      </c>
    </row>
    <row r="71" spans="1:12" ht="30" customHeight="1" x14ac:dyDescent="0.25">
      <c r="A71" s="5" t="s">
        <v>399</v>
      </c>
      <c r="B71" s="2" t="s">
        <v>400</v>
      </c>
      <c r="C71" s="3">
        <v>1</v>
      </c>
      <c r="D71" s="6">
        <v>39.99</v>
      </c>
      <c r="E71" s="3" t="s">
        <v>401</v>
      </c>
      <c r="F71" s="2" t="s">
        <v>3038</v>
      </c>
      <c r="G71" s="7"/>
      <c r="H71" s="2" t="s">
        <v>2537</v>
      </c>
      <c r="I71" s="2" t="s">
        <v>3353</v>
      </c>
      <c r="J71" s="2" t="s">
        <v>2361</v>
      </c>
      <c r="K71" s="2" t="s">
        <v>2441</v>
      </c>
      <c r="L71" s="8" t="str">
        <f>HYPERLINK("http://slimages.macys.com/is/image/MCY/9483201 ")</f>
        <v xml:space="preserve">http://slimages.macys.com/is/image/MCY/9483201 </v>
      </c>
    </row>
    <row r="72" spans="1:12" ht="30" customHeight="1" x14ac:dyDescent="0.25">
      <c r="A72" s="5" t="s">
        <v>402</v>
      </c>
      <c r="B72" s="2" t="s">
        <v>403</v>
      </c>
      <c r="C72" s="3">
        <v>1</v>
      </c>
      <c r="D72" s="6">
        <v>39.99</v>
      </c>
      <c r="E72" s="3">
        <v>17843238</v>
      </c>
      <c r="F72" s="2" t="s">
        <v>2394</v>
      </c>
      <c r="G72" s="7"/>
      <c r="H72" s="2" t="s">
        <v>2537</v>
      </c>
      <c r="I72" s="2" t="s">
        <v>2447</v>
      </c>
      <c r="J72" s="2" t="s">
        <v>2361</v>
      </c>
      <c r="K72" s="2" t="s">
        <v>404</v>
      </c>
      <c r="L72" s="8" t="str">
        <f>HYPERLINK("http://slimages.macys.com/is/image/MCY/8759395 ")</f>
        <v xml:space="preserve">http://slimages.macys.com/is/image/MCY/8759395 </v>
      </c>
    </row>
    <row r="73" spans="1:12" ht="30" customHeight="1" x14ac:dyDescent="0.25">
      <c r="A73" s="5" t="s">
        <v>405</v>
      </c>
      <c r="B73" s="2" t="s">
        <v>406</v>
      </c>
      <c r="C73" s="3">
        <v>1</v>
      </c>
      <c r="D73" s="6">
        <v>49.99</v>
      </c>
      <c r="E73" s="3" t="s">
        <v>407</v>
      </c>
      <c r="F73" s="2" t="s">
        <v>3485</v>
      </c>
      <c r="G73" s="7"/>
      <c r="H73" s="2" t="s">
        <v>2375</v>
      </c>
      <c r="I73" s="2" t="s">
        <v>3446</v>
      </c>
      <c r="J73" s="2" t="s">
        <v>2361</v>
      </c>
      <c r="K73" s="2" t="s">
        <v>2377</v>
      </c>
      <c r="L73" s="8" t="str">
        <f>HYPERLINK("http://slimages.macys.com/is/image/MCY/3276791 ")</f>
        <v xml:space="preserve">http://slimages.macys.com/is/image/MCY/3276791 </v>
      </c>
    </row>
    <row r="74" spans="1:12" ht="30" customHeight="1" x14ac:dyDescent="0.25">
      <c r="A74" s="5" t="s">
        <v>408</v>
      </c>
      <c r="B74" s="2" t="s">
        <v>409</v>
      </c>
      <c r="C74" s="3">
        <v>1</v>
      </c>
      <c r="D74" s="6">
        <v>29.99</v>
      </c>
      <c r="E74" s="3">
        <v>19649338</v>
      </c>
      <c r="F74" s="2" t="s">
        <v>2793</v>
      </c>
      <c r="G74" s="7"/>
      <c r="H74" s="2" t="s">
        <v>2537</v>
      </c>
      <c r="I74" s="2" t="s">
        <v>2447</v>
      </c>
      <c r="J74" s="2" t="s">
        <v>2361</v>
      </c>
      <c r="K74" s="2" t="s">
        <v>2441</v>
      </c>
      <c r="L74" s="8" t="str">
        <f>HYPERLINK("http://slimages.macys.com/is/image/MCY/9318947 ")</f>
        <v xml:space="preserve">http://slimages.macys.com/is/image/MCY/9318947 </v>
      </c>
    </row>
    <row r="75" spans="1:12" ht="30" customHeight="1" x14ac:dyDescent="0.25">
      <c r="A75" s="5" t="s">
        <v>410</v>
      </c>
      <c r="B75" s="2" t="s">
        <v>411</v>
      </c>
      <c r="C75" s="3">
        <v>1</v>
      </c>
      <c r="D75" s="6">
        <v>29.99</v>
      </c>
      <c r="E75" s="3">
        <v>19648338</v>
      </c>
      <c r="F75" s="2" t="s">
        <v>3024</v>
      </c>
      <c r="G75" s="7"/>
      <c r="H75" s="2" t="s">
        <v>2537</v>
      </c>
      <c r="I75" s="2" t="s">
        <v>2447</v>
      </c>
      <c r="J75" s="2" t="s">
        <v>2361</v>
      </c>
      <c r="K75" s="2" t="s">
        <v>2441</v>
      </c>
      <c r="L75" s="8" t="str">
        <f>HYPERLINK("http://slimages.macys.com/is/image/MCY/9318947 ")</f>
        <v xml:space="preserve">http://slimages.macys.com/is/image/MCY/9318947 </v>
      </c>
    </row>
    <row r="76" spans="1:12" ht="30" customHeight="1" x14ac:dyDescent="0.25">
      <c r="A76" s="5" t="s">
        <v>412</v>
      </c>
      <c r="B76" s="2" t="s">
        <v>413</v>
      </c>
      <c r="C76" s="3">
        <v>1</v>
      </c>
      <c r="D76" s="6">
        <v>39.99</v>
      </c>
      <c r="E76" s="3" t="s">
        <v>414</v>
      </c>
      <c r="F76" s="2" t="s">
        <v>2768</v>
      </c>
      <c r="G76" s="7"/>
      <c r="H76" s="2" t="s">
        <v>2473</v>
      </c>
      <c r="I76" s="2" t="s">
        <v>1529</v>
      </c>
      <c r="J76" s="2" t="s">
        <v>2361</v>
      </c>
      <c r="K76" s="2" t="s">
        <v>2377</v>
      </c>
      <c r="L76" s="8" t="str">
        <f>HYPERLINK("http://slimages.macys.com/is/image/MCY/9178734 ")</f>
        <v xml:space="preserve">http://slimages.macys.com/is/image/MCY/9178734 </v>
      </c>
    </row>
    <row r="77" spans="1:12" ht="30" customHeight="1" x14ac:dyDescent="0.25">
      <c r="A77" s="5" t="s">
        <v>415</v>
      </c>
      <c r="B77" s="2" t="s">
        <v>416</v>
      </c>
      <c r="C77" s="3">
        <v>5</v>
      </c>
      <c r="D77" s="6">
        <v>38.99</v>
      </c>
      <c r="E77" s="3" t="s">
        <v>417</v>
      </c>
      <c r="F77" s="2" t="s">
        <v>2506</v>
      </c>
      <c r="G77" s="7"/>
      <c r="H77" s="2" t="s">
        <v>2419</v>
      </c>
      <c r="I77" s="2" t="s">
        <v>2406</v>
      </c>
      <c r="J77" s="2" t="s">
        <v>2361</v>
      </c>
      <c r="K77" s="2" t="s">
        <v>418</v>
      </c>
      <c r="L77" s="8" t="str">
        <f>HYPERLINK("http://slimages.macys.com/is/image/MCY/9310362 ")</f>
        <v xml:space="preserve">http://slimages.macys.com/is/image/MCY/9310362 </v>
      </c>
    </row>
    <row r="78" spans="1:12" ht="30" customHeight="1" x14ac:dyDescent="0.25">
      <c r="A78" s="5" t="s">
        <v>419</v>
      </c>
      <c r="B78" s="2" t="s">
        <v>420</v>
      </c>
      <c r="C78" s="3">
        <v>1</v>
      </c>
      <c r="D78" s="6">
        <v>48.99</v>
      </c>
      <c r="E78" s="3" t="s">
        <v>421</v>
      </c>
      <c r="F78" s="2"/>
      <c r="G78" s="7"/>
      <c r="H78" s="2" t="s">
        <v>2359</v>
      </c>
      <c r="I78" s="2" t="s">
        <v>2727</v>
      </c>
      <c r="J78" s="2" t="s">
        <v>2361</v>
      </c>
      <c r="K78" s="2" t="s">
        <v>2656</v>
      </c>
      <c r="L78" s="8" t="str">
        <f>HYPERLINK("http://slimages.macys.com/is/image/MCY/11620396 ")</f>
        <v xml:space="preserve">http://slimages.macys.com/is/image/MCY/11620396 </v>
      </c>
    </row>
    <row r="79" spans="1:12" ht="30" customHeight="1" x14ac:dyDescent="0.25">
      <c r="A79" s="5" t="s">
        <v>422</v>
      </c>
      <c r="B79" s="2" t="s">
        <v>423</v>
      </c>
      <c r="C79" s="3">
        <v>1</v>
      </c>
      <c r="D79" s="6">
        <v>79.989999999999995</v>
      </c>
      <c r="E79" s="3" t="s">
        <v>424</v>
      </c>
      <c r="F79" s="2" t="s">
        <v>2418</v>
      </c>
      <c r="G79" s="7"/>
      <c r="H79" s="2" t="s">
        <v>2388</v>
      </c>
      <c r="I79" s="2" t="s">
        <v>2998</v>
      </c>
      <c r="J79" s="2" t="s">
        <v>2361</v>
      </c>
      <c r="K79" s="2" t="s">
        <v>425</v>
      </c>
      <c r="L79" s="8" t="str">
        <f>HYPERLINK("http://slimages.macys.com/is/image/MCY/9706174 ")</f>
        <v xml:space="preserve">http://slimages.macys.com/is/image/MCY/9706174 </v>
      </c>
    </row>
    <row r="80" spans="1:12" ht="30" customHeight="1" x14ac:dyDescent="0.25">
      <c r="A80" s="5" t="s">
        <v>426</v>
      </c>
      <c r="B80" s="2" t="s">
        <v>427</v>
      </c>
      <c r="C80" s="3">
        <v>1</v>
      </c>
      <c r="D80" s="6">
        <v>29.99</v>
      </c>
      <c r="E80" s="3">
        <v>18491238</v>
      </c>
      <c r="F80" s="2" t="s">
        <v>2793</v>
      </c>
      <c r="G80" s="7"/>
      <c r="H80" s="2" t="s">
        <v>2537</v>
      </c>
      <c r="I80" s="2" t="s">
        <v>2447</v>
      </c>
      <c r="J80" s="2" t="s">
        <v>2361</v>
      </c>
      <c r="K80" s="2" t="s">
        <v>2441</v>
      </c>
      <c r="L80" s="8" t="str">
        <f>HYPERLINK("http://slimages.macys.com/is/image/MCY/9318947 ")</f>
        <v xml:space="preserve">http://slimages.macys.com/is/image/MCY/9318947 </v>
      </c>
    </row>
    <row r="81" spans="1:12" ht="30" customHeight="1" x14ac:dyDescent="0.25">
      <c r="A81" s="5" t="s">
        <v>428</v>
      </c>
      <c r="B81" s="2" t="s">
        <v>429</v>
      </c>
      <c r="C81" s="3">
        <v>1</v>
      </c>
      <c r="D81" s="6">
        <v>35.99</v>
      </c>
      <c r="E81" s="3" t="s">
        <v>430</v>
      </c>
      <c r="F81" s="2" t="s">
        <v>2381</v>
      </c>
      <c r="G81" s="7"/>
      <c r="H81" s="2" t="s">
        <v>2419</v>
      </c>
      <c r="I81" s="2" t="s">
        <v>2406</v>
      </c>
      <c r="J81" s="2" t="s">
        <v>2361</v>
      </c>
      <c r="K81" s="2" t="s">
        <v>1279</v>
      </c>
      <c r="L81" s="8" t="str">
        <f>HYPERLINK("http://slimages.macys.com/is/image/MCY/9310361 ")</f>
        <v xml:space="preserve">http://slimages.macys.com/is/image/MCY/9310361 </v>
      </c>
    </row>
    <row r="82" spans="1:12" ht="30" customHeight="1" x14ac:dyDescent="0.25">
      <c r="A82" s="5" t="s">
        <v>2657</v>
      </c>
      <c r="B82" s="2" t="s">
        <v>431</v>
      </c>
      <c r="C82" s="3">
        <v>1</v>
      </c>
      <c r="D82" s="6">
        <v>30.99</v>
      </c>
      <c r="E82" s="3" t="s">
        <v>2659</v>
      </c>
      <c r="F82" s="2" t="s">
        <v>2374</v>
      </c>
      <c r="G82" s="7"/>
      <c r="H82" s="2" t="s">
        <v>2419</v>
      </c>
      <c r="I82" s="2" t="s">
        <v>2406</v>
      </c>
      <c r="J82" s="2" t="s">
        <v>2361</v>
      </c>
      <c r="K82" s="2"/>
      <c r="L82" s="8" t="str">
        <f>HYPERLINK("http://slimages.macys.com/is/image/MCY/10010883 ")</f>
        <v xml:space="preserve">http://slimages.macys.com/is/image/MCY/10010883 </v>
      </c>
    </row>
    <row r="83" spans="1:12" ht="30" customHeight="1" x14ac:dyDescent="0.25">
      <c r="A83" s="5" t="s">
        <v>432</v>
      </c>
      <c r="B83" s="2" t="s">
        <v>433</v>
      </c>
      <c r="C83" s="3">
        <v>1</v>
      </c>
      <c r="D83" s="6">
        <v>39.99</v>
      </c>
      <c r="E83" s="3" t="s">
        <v>434</v>
      </c>
      <c r="F83" s="2" t="s">
        <v>3381</v>
      </c>
      <c r="G83" s="7" t="s">
        <v>2518</v>
      </c>
      <c r="H83" s="2" t="s">
        <v>2375</v>
      </c>
      <c r="I83" s="2" t="s">
        <v>2376</v>
      </c>
      <c r="J83" s="2" t="s">
        <v>2361</v>
      </c>
      <c r="K83" s="2"/>
      <c r="L83" s="8" t="str">
        <f>HYPERLINK("http://slimages.macys.com/is/image/MCY/8794131 ")</f>
        <v xml:space="preserve">http://slimages.macys.com/is/image/MCY/8794131 </v>
      </c>
    </row>
    <row r="84" spans="1:12" ht="30" customHeight="1" x14ac:dyDescent="0.25">
      <c r="A84" s="5" t="s">
        <v>435</v>
      </c>
      <c r="B84" s="2" t="s">
        <v>436</v>
      </c>
      <c r="C84" s="3">
        <v>1</v>
      </c>
      <c r="D84" s="6">
        <v>29.99</v>
      </c>
      <c r="E84" s="3" t="s">
        <v>437</v>
      </c>
      <c r="F84" s="2" t="s">
        <v>2640</v>
      </c>
      <c r="G84" s="7"/>
      <c r="H84" s="2" t="s">
        <v>2879</v>
      </c>
      <c r="I84" s="2" t="s">
        <v>438</v>
      </c>
      <c r="J84" s="2"/>
      <c r="K84" s="2"/>
      <c r="L84" s="8" t="str">
        <f>HYPERLINK("http://slimages.macys.com/is/image/MCY/9853622 ")</f>
        <v xml:space="preserve">http://slimages.macys.com/is/image/MCY/9853622 </v>
      </c>
    </row>
    <row r="85" spans="1:12" ht="30" customHeight="1" x14ac:dyDescent="0.25">
      <c r="A85" s="5" t="s">
        <v>1934</v>
      </c>
      <c r="B85" s="2" t="s">
        <v>439</v>
      </c>
      <c r="C85" s="3">
        <v>1</v>
      </c>
      <c r="D85" s="6">
        <v>29.99</v>
      </c>
      <c r="E85" s="3" t="s">
        <v>1936</v>
      </c>
      <c r="F85" s="2" t="s">
        <v>2424</v>
      </c>
      <c r="G85" s="7"/>
      <c r="H85" s="2" t="s">
        <v>2459</v>
      </c>
      <c r="I85" s="2" t="s">
        <v>1937</v>
      </c>
      <c r="J85" s="2" t="s">
        <v>2361</v>
      </c>
      <c r="K85" s="2" t="s">
        <v>1938</v>
      </c>
      <c r="L85" s="8" t="str">
        <f>HYPERLINK("http://slimages.macys.com/is/image/MCY/3425818 ")</f>
        <v xml:space="preserve">http://slimages.macys.com/is/image/MCY/3425818 </v>
      </c>
    </row>
    <row r="86" spans="1:12" ht="30" customHeight="1" x14ac:dyDescent="0.25">
      <c r="A86" s="5" t="s">
        <v>440</v>
      </c>
      <c r="B86" s="2" t="s">
        <v>441</v>
      </c>
      <c r="C86" s="3">
        <v>1</v>
      </c>
      <c r="D86" s="6">
        <v>24.99</v>
      </c>
      <c r="E86" s="3" t="s">
        <v>442</v>
      </c>
      <c r="F86" s="2" t="s">
        <v>2366</v>
      </c>
      <c r="G86" s="7" t="s">
        <v>2382</v>
      </c>
      <c r="H86" s="2" t="s">
        <v>2459</v>
      </c>
      <c r="I86" s="2" t="s">
        <v>1184</v>
      </c>
      <c r="J86" s="2" t="s">
        <v>2361</v>
      </c>
      <c r="K86" s="2" t="s">
        <v>443</v>
      </c>
      <c r="L86" s="8" t="str">
        <f>HYPERLINK("http://slimages.macys.com/is/image/MCY/1819594 ")</f>
        <v xml:space="preserve">http://slimages.macys.com/is/image/MCY/1819594 </v>
      </c>
    </row>
    <row r="87" spans="1:12" ht="30" customHeight="1" x14ac:dyDescent="0.25">
      <c r="A87" s="5" t="s">
        <v>444</v>
      </c>
      <c r="B87" s="2" t="s">
        <v>445</v>
      </c>
      <c r="C87" s="3">
        <v>1</v>
      </c>
      <c r="D87" s="6">
        <v>34.99</v>
      </c>
      <c r="E87" s="3" t="s">
        <v>446</v>
      </c>
      <c r="F87" s="2" t="s">
        <v>2512</v>
      </c>
      <c r="G87" s="7"/>
      <c r="H87" s="2" t="s">
        <v>2419</v>
      </c>
      <c r="I87" s="2" t="s">
        <v>2850</v>
      </c>
      <c r="J87" s="2" t="s">
        <v>2361</v>
      </c>
      <c r="K87" s="2" t="s">
        <v>2656</v>
      </c>
      <c r="L87" s="8" t="str">
        <f>HYPERLINK("http://slimages.macys.com/is/image/MCY/11685263 ")</f>
        <v xml:space="preserve">http://slimages.macys.com/is/image/MCY/11685263 </v>
      </c>
    </row>
    <row r="88" spans="1:12" ht="30" customHeight="1" x14ac:dyDescent="0.25">
      <c r="A88" s="5" t="s">
        <v>447</v>
      </c>
      <c r="B88" s="2" t="s">
        <v>448</v>
      </c>
      <c r="C88" s="3">
        <v>3</v>
      </c>
      <c r="D88" s="6">
        <v>41.99</v>
      </c>
      <c r="E88" s="3" t="s">
        <v>449</v>
      </c>
      <c r="F88" s="2" t="s">
        <v>2849</v>
      </c>
      <c r="G88" s="7"/>
      <c r="H88" s="2" t="s">
        <v>2419</v>
      </c>
      <c r="I88" s="2" t="s">
        <v>3032</v>
      </c>
      <c r="J88" s="2" t="s">
        <v>2361</v>
      </c>
      <c r="K88" s="2" t="s">
        <v>2377</v>
      </c>
      <c r="L88" s="8" t="str">
        <f>HYPERLINK("http://slimages.macys.com/is/image/MCY/13066354 ")</f>
        <v xml:space="preserve">http://slimages.macys.com/is/image/MCY/13066354 </v>
      </c>
    </row>
    <row r="89" spans="1:12" ht="30" customHeight="1" x14ac:dyDescent="0.25">
      <c r="A89" s="5" t="s">
        <v>450</v>
      </c>
      <c r="B89" s="2" t="s">
        <v>451</v>
      </c>
      <c r="C89" s="3">
        <v>2</v>
      </c>
      <c r="D89" s="6">
        <v>24.99</v>
      </c>
      <c r="E89" s="3" t="s">
        <v>452</v>
      </c>
      <c r="F89" s="2" t="s">
        <v>2401</v>
      </c>
      <c r="G89" s="7"/>
      <c r="H89" s="2" t="s">
        <v>2537</v>
      </c>
      <c r="I89" s="2" t="s">
        <v>2538</v>
      </c>
      <c r="J89" s="2" t="s">
        <v>2361</v>
      </c>
      <c r="K89" s="2"/>
      <c r="L89" s="8" t="str">
        <f>HYPERLINK("http://slimages.macys.com/is/image/MCY/12781704 ")</f>
        <v xml:space="preserve">http://slimages.macys.com/is/image/MCY/12781704 </v>
      </c>
    </row>
    <row r="90" spans="1:12" ht="30" customHeight="1" x14ac:dyDescent="0.25">
      <c r="A90" s="5" t="s">
        <v>453</v>
      </c>
      <c r="B90" s="2" t="s">
        <v>454</v>
      </c>
      <c r="C90" s="3">
        <v>1</v>
      </c>
      <c r="D90" s="6">
        <v>29.99</v>
      </c>
      <c r="E90" s="3" t="s">
        <v>455</v>
      </c>
      <c r="F90" s="2" t="s">
        <v>2849</v>
      </c>
      <c r="G90" s="7"/>
      <c r="H90" s="2" t="s">
        <v>2419</v>
      </c>
      <c r="I90" s="2" t="s">
        <v>3032</v>
      </c>
      <c r="J90" s="2" t="s">
        <v>2361</v>
      </c>
      <c r="K90" s="2" t="s">
        <v>2377</v>
      </c>
      <c r="L90" s="8" t="str">
        <f>HYPERLINK("http://slimages.macys.com/is/image/MCY/12887416 ")</f>
        <v xml:space="preserve">http://slimages.macys.com/is/image/MCY/12887416 </v>
      </c>
    </row>
    <row r="91" spans="1:12" ht="30" customHeight="1" x14ac:dyDescent="0.25">
      <c r="A91" s="5" t="s">
        <v>456</v>
      </c>
      <c r="B91" s="2" t="s">
        <v>457</v>
      </c>
      <c r="C91" s="3">
        <v>2</v>
      </c>
      <c r="D91" s="6">
        <v>17.989999999999998</v>
      </c>
      <c r="E91" s="3">
        <v>67877</v>
      </c>
      <c r="F91" s="2" t="s">
        <v>2601</v>
      </c>
      <c r="G91" s="7"/>
      <c r="H91" s="2" t="s">
        <v>2419</v>
      </c>
      <c r="I91" s="2" t="s">
        <v>2798</v>
      </c>
      <c r="J91" s="2" t="s">
        <v>2361</v>
      </c>
      <c r="K91" s="2" t="s">
        <v>2377</v>
      </c>
      <c r="L91" s="8" t="str">
        <f>HYPERLINK("http://slimages.macys.com/is/image/MCY/9316063 ")</f>
        <v xml:space="preserve">http://slimages.macys.com/is/image/MCY/9316063 </v>
      </c>
    </row>
    <row r="92" spans="1:12" ht="30" customHeight="1" x14ac:dyDescent="0.25">
      <c r="A92" s="5" t="s">
        <v>458</v>
      </c>
      <c r="B92" s="2" t="s">
        <v>459</v>
      </c>
      <c r="C92" s="3">
        <v>3</v>
      </c>
      <c r="D92" s="6">
        <v>18.989999999999998</v>
      </c>
      <c r="E92" s="3" t="s">
        <v>460</v>
      </c>
      <c r="F92" s="2"/>
      <c r="G92" s="7"/>
      <c r="H92" s="2" t="s">
        <v>2537</v>
      </c>
      <c r="I92" s="2" t="s">
        <v>2538</v>
      </c>
      <c r="J92" s="2" t="s">
        <v>2361</v>
      </c>
      <c r="K92" s="2" t="s">
        <v>2831</v>
      </c>
      <c r="L92" s="8" t="str">
        <f>HYPERLINK("http://slimages.macys.com/is/image/MCY/12406292 ")</f>
        <v xml:space="preserve">http://slimages.macys.com/is/image/MCY/12406292 </v>
      </c>
    </row>
    <row r="93" spans="1:12" ht="30" customHeight="1" x14ac:dyDescent="0.25">
      <c r="A93" s="5" t="s">
        <v>461</v>
      </c>
      <c r="B93" s="2" t="s">
        <v>462</v>
      </c>
      <c r="C93" s="3">
        <v>1</v>
      </c>
      <c r="D93" s="6">
        <v>18.989999999999998</v>
      </c>
      <c r="E93" s="3" t="s">
        <v>460</v>
      </c>
      <c r="F93" s="2"/>
      <c r="G93" s="7"/>
      <c r="H93" s="2" t="s">
        <v>2537</v>
      </c>
      <c r="I93" s="2" t="s">
        <v>2538</v>
      </c>
      <c r="J93" s="2" t="s">
        <v>2361</v>
      </c>
      <c r="K93" s="2" t="s">
        <v>2831</v>
      </c>
      <c r="L93" s="8" t="str">
        <f>HYPERLINK("http://slimages.macys.com/is/image/MCY/12406292 ")</f>
        <v xml:space="preserve">http://slimages.macys.com/is/image/MCY/12406292 </v>
      </c>
    </row>
    <row r="94" spans="1:12" ht="30" customHeight="1" x14ac:dyDescent="0.25">
      <c r="A94" s="5" t="s">
        <v>463</v>
      </c>
      <c r="B94" s="2" t="s">
        <v>464</v>
      </c>
      <c r="C94" s="3">
        <v>1</v>
      </c>
      <c r="D94" s="6">
        <v>29.99</v>
      </c>
      <c r="E94" s="3" t="s">
        <v>465</v>
      </c>
      <c r="F94" s="2" t="s">
        <v>2374</v>
      </c>
      <c r="G94" s="7" t="s">
        <v>2705</v>
      </c>
      <c r="H94" s="2" t="s">
        <v>2412</v>
      </c>
      <c r="I94" s="2" t="s">
        <v>2413</v>
      </c>
      <c r="J94" s="2" t="s">
        <v>2361</v>
      </c>
      <c r="K94" s="2" t="s">
        <v>2706</v>
      </c>
      <c r="L94" s="8" t="str">
        <f>HYPERLINK("http://slimages.macys.com/is/image/MCY/15059998 ")</f>
        <v xml:space="preserve">http://slimages.macys.com/is/image/MCY/15059998 </v>
      </c>
    </row>
    <row r="95" spans="1:12" ht="30" customHeight="1" x14ac:dyDescent="0.25">
      <c r="A95" s="5" t="s">
        <v>2150</v>
      </c>
      <c r="B95" s="2" t="s">
        <v>466</v>
      </c>
      <c r="C95" s="3">
        <v>2</v>
      </c>
      <c r="D95" s="6">
        <v>19.989999999999998</v>
      </c>
      <c r="E95" s="3" t="s">
        <v>2152</v>
      </c>
      <c r="F95" s="2" t="s">
        <v>2394</v>
      </c>
      <c r="G95" s="7" t="s">
        <v>2531</v>
      </c>
      <c r="H95" s="2" t="s">
        <v>2459</v>
      </c>
      <c r="I95" s="2" t="s">
        <v>2547</v>
      </c>
      <c r="J95" s="2" t="s">
        <v>2361</v>
      </c>
      <c r="K95" s="2" t="s">
        <v>2397</v>
      </c>
      <c r="L95" s="8" t="str">
        <f>HYPERLINK("http://slimages.macys.com/is/image/MCY/1426090 ")</f>
        <v xml:space="preserve">http://slimages.macys.com/is/image/MCY/1426090 </v>
      </c>
    </row>
    <row r="96" spans="1:12" ht="30" customHeight="1" x14ac:dyDescent="0.25">
      <c r="A96" s="5" t="s">
        <v>467</v>
      </c>
      <c r="B96" s="2" t="s">
        <v>468</v>
      </c>
      <c r="C96" s="3">
        <v>1</v>
      </c>
      <c r="D96" s="6">
        <v>17.989999999999998</v>
      </c>
      <c r="E96" s="3" t="s">
        <v>469</v>
      </c>
      <c r="F96" s="2" t="s">
        <v>2517</v>
      </c>
      <c r="G96" s="7"/>
      <c r="H96" s="2" t="s">
        <v>2537</v>
      </c>
      <c r="I96" s="2" t="s">
        <v>2538</v>
      </c>
      <c r="J96" s="2" t="s">
        <v>2361</v>
      </c>
      <c r="K96" s="2"/>
      <c r="L96" s="8" t="str">
        <f>HYPERLINK("http://slimages.macys.com/is/image/MCY/15162661 ")</f>
        <v xml:space="preserve">http://slimages.macys.com/is/image/MCY/15162661 </v>
      </c>
    </row>
    <row r="97" spans="1:12" ht="30" customHeight="1" x14ac:dyDescent="0.25">
      <c r="A97" s="5" t="s">
        <v>470</v>
      </c>
      <c r="B97" s="2" t="s">
        <v>471</v>
      </c>
      <c r="C97" s="3">
        <v>2</v>
      </c>
      <c r="D97" s="6">
        <v>18.989999999999998</v>
      </c>
      <c r="E97" s="3" t="s">
        <v>472</v>
      </c>
      <c r="F97" s="2" t="s">
        <v>2582</v>
      </c>
      <c r="G97" s="7"/>
      <c r="H97" s="2" t="s">
        <v>2537</v>
      </c>
      <c r="I97" s="2" t="s">
        <v>2538</v>
      </c>
      <c r="J97" s="2" t="s">
        <v>2361</v>
      </c>
      <c r="K97" s="2" t="s">
        <v>2377</v>
      </c>
      <c r="L97" s="8" t="str">
        <f>HYPERLINK("http://slimages.macys.com/is/image/MCY/12406292 ")</f>
        <v xml:space="preserve">http://slimages.macys.com/is/image/MCY/12406292 </v>
      </c>
    </row>
    <row r="98" spans="1:12" ht="30" customHeight="1" x14ac:dyDescent="0.25">
      <c r="A98" s="5" t="s">
        <v>473</v>
      </c>
      <c r="B98" s="2" t="s">
        <v>474</v>
      </c>
      <c r="C98" s="3">
        <v>1</v>
      </c>
      <c r="D98" s="6">
        <v>18.989999999999998</v>
      </c>
      <c r="E98" s="3" t="s">
        <v>475</v>
      </c>
      <c r="F98" s="2" t="s">
        <v>2440</v>
      </c>
      <c r="G98" s="7"/>
      <c r="H98" s="2" t="s">
        <v>2537</v>
      </c>
      <c r="I98" s="2" t="s">
        <v>2538</v>
      </c>
      <c r="J98" s="2" t="s">
        <v>2361</v>
      </c>
      <c r="K98" s="2"/>
      <c r="L98" s="8" t="str">
        <f>HYPERLINK("http://slimages.macys.com/is/image/MCY/14426507 ")</f>
        <v xml:space="preserve">http://slimages.macys.com/is/image/MCY/14426507 </v>
      </c>
    </row>
    <row r="99" spans="1:12" ht="30" customHeight="1" x14ac:dyDescent="0.25">
      <c r="A99" s="5" t="s">
        <v>476</v>
      </c>
      <c r="B99" s="2" t="s">
        <v>477</v>
      </c>
      <c r="C99" s="3">
        <v>2</v>
      </c>
      <c r="D99" s="6">
        <v>18.989999999999998</v>
      </c>
      <c r="E99" s="3" t="s">
        <v>472</v>
      </c>
      <c r="F99" s="2"/>
      <c r="G99" s="7"/>
      <c r="H99" s="2" t="s">
        <v>2537</v>
      </c>
      <c r="I99" s="2" t="s">
        <v>2538</v>
      </c>
      <c r="J99" s="2" t="s">
        <v>2361</v>
      </c>
      <c r="K99" s="2" t="s">
        <v>2377</v>
      </c>
      <c r="L99" s="8" t="str">
        <f>HYPERLINK("http://slimages.macys.com/is/image/MCY/12406292 ")</f>
        <v xml:space="preserve">http://slimages.macys.com/is/image/MCY/12406292 </v>
      </c>
    </row>
    <row r="100" spans="1:12" ht="30" customHeight="1" x14ac:dyDescent="0.25">
      <c r="A100" s="5" t="s">
        <v>478</v>
      </c>
      <c r="B100" s="2" t="s">
        <v>479</v>
      </c>
      <c r="C100" s="3">
        <v>1</v>
      </c>
      <c r="D100" s="6">
        <v>34.99</v>
      </c>
      <c r="E100" s="3" t="s">
        <v>2526</v>
      </c>
      <c r="F100" s="2" t="s">
        <v>2358</v>
      </c>
      <c r="G100" s="7"/>
      <c r="H100" s="2" t="s">
        <v>2395</v>
      </c>
      <c r="I100" s="2" t="s">
        <v>2527</v>
      </c>
      <c r="J100" s="2" t="s">
        <v>2361</v>
      </c>
      <c r="K100" s="2" t="s">
        <v>2377</v>
      </c>
      <c r="L100" s="8" t="str">
        <f>HYPERLINK("http://slimages.macys.com/is/image/MCY/14601403 ")</f>
        <v xml:space="preserve">http://slimages.macys.com/is/image/MCY/14601403 </v>
      </c>
    </row>
    <row r="101" spans="1:12" ht="30" customHeight="1" x14ac:dyDescent="0.25">
      <c r="A101" s="5" t="s">
        <v>480</v>
      </c>
      <c r="B101" s="2" t="s">
        <v>481</v>
      </c>
      <c r="C101" s="3">
        <v>2</v>
      </c>
      <c r="D101" s="6">
        <v>22.99</v>
      </c>
      <c r="E101" s="3" t="s">
        <v>482</v>
      </c>
      <c r="F101" s="2" t="s">
        <v>2440</v>
      </c>
      <c r="G101" s="7"/>
      <c r="H101" s="2" t="s">
        <v>2419</v>
      </c>
      <c r="I101" s="2" t="s">
        <v>483</v>
      </c>
      <c r="J101" s="2" t="s">
        <v>2361</v>
      </c>
      <c r="K101" s="2" t="s">
        <v>2894</v>
      </c>
      <c r="L101" s="8" t="str">
        <f>HYPERLINK("http://slimages.macys.com/is/image/MCY/13989503 ")</f>
        <v xml:space="preserve">http://slimages.macys.com/is/image/MCY/13989503 </v>
      </c>
    </row>
    <row r="102" spans="1:12" ht="30" customHeight="1" x14ac:dyDescent="0.25">
      <c r="A102" s="5" t="s">
        <v>484</v>
      </c>
      <c r="B102" s="2" t="s">
        <v>485</v>
      </c>
      <c r="C102" s="3">
        <v>1</v>
      </c>
      <c r="D102" s="6">
        <v>15.99</v>
      </c>
      <c r="E102" s="3" t="s">
        <v>486</v>
      </c>
      <c r="F102" s="2" t="s">
        <v>2366</v>
      </c>
      <c r="G102" s="7"/>
      <c r="H102" s="2" t="s">
        <v>2419</v>
      </c>
      <c r="I102" s="2" t="s">
        <v>1125</v>
      </c>
      <c r="J102" s="2" t="s">
        <v>2361</v>
      </c>
      <c r="K102" s="2"/>
      <c r="L102" s="8" t="str">
        <f>HYPERLINK("http://slimages.macys.com/is/image/MCY/9661643 ")</f>
        <v xml:space="preserve">http://slimages.macys.com/is/image/MCY/9661643 </v>
      </c>
    </row>
    <row r="103" spans="1:12" ht="30" customHeight="1" x14ac:dyDescent="0.25">
      <c r="A103" s="5" t="s">
        <v>487</v>
      </c>
      <c r="B103" s="2" t="s">
        <v>488</v>
      </c>
      <c r="C103" s="3">
        <v>2</v>
      </c>
      <c r="D103" s="6">
        <v>15.99</v>
      </c>
      <c r="E103" s="3" t="s">
        <v>489</v>
      </c>
      <c r="F103" s="2" t="s">
        <v>2458</v>
      </c>
      <c r="G103" s="7"/>
      <c r="H103" s="2" t="s">
        <v>2419</v>
      </c>
      <c r="I103" s="2" t="s">
        <v>1125</v>
      </c>
      <c r="J103" s="2" t="s">
        <v>2361</v>
      </c>
      <c r="K103" s="2"/>
      <c r="L103" s="8" t="str">
        <f>HYPERLINK("http://slimages.macys.com/is/image/MCY/9692228 ")</f>
        <v xml:space="preserve">http://slimages.macys.com/is/image/MCY/9692228 </v>
      </c>
    </row>
    <row r="104" spans="1:12" ht="30" customHeight="1" x14ac:dyDescent="0.25">
      <c r="A104" s="5" t="s">
        <v>490</v>
      </c>
      <c r="B104" s="2" t="s">
        <v>491</v>
      </c>
      <c r="C104" s="3">
        <v>1</v>
      </c>
      <c r="D104" s="6">
        <v>129.99</v>
      </c>
      <c r="E104" s="3" t="s">
        <v>492</v>
      </c>
      <c r="F104" s="2"/>
      <c r="G104" s="7" t="s">
        <v>2483</v>
      </c>
      <c r="H104" s="2" t="s">
        <v>2375</v>
      </c>
      <c r="I104" s="2" t="s">
        <v>3446</v>
      </c>
      <c r="J104" s="2" t="s">
        <v>2361</v>
      </c>
      <c r="K104" s="2" t="s">
        <v>2656</v>
      </c>
      <c r="L104" s="8" t="str">
        <f>HYPERLINK("http://slimages.macys.com/is/image/MCY/11012472 ")</f>
        <v xml:space="preserve">http://slimages.macys.com/is/image/MCY/11012472 </v>
      </c>
    </row>
    <row r="105" spans="1:12" ht="30" customHeight="1" x14ac:dyDescent="0.25">
      <c r="A105" s="5" t="s">
        <v>493</v>
      </c>
      <c r="B105" s="2" t="s">
        <v>494</v>
      </c>
      <c r="C105" s="3">
        <v>1</v>
      </c>
      <c r="D105" s="6">
        <v>16.989999999999998</v>
      </c>
      <c r="E105" s="3">
        <v>1006769300</v>
      </c>
      <c r="F105" s="2" t="s">
        <v>2374</v>
      </c>
      <c r="G105" s="7" t="s">
        <v>2531</v>
      </c>
      <c r="H105" s="2" t="s">
        <v>2532</v>
      </c>
      <c r="I105" s="2" t="s">
        <v>2474</v>
      </c>
      <c r="J105" s="2" t="s">
        <v>2361</v>
      </c>
      <c r="K105" s="2" t="s">
        <v>2448</v>
      </c>
      <c r="L105" s="8" t="str">
        <f>HYPERLINK("http://slimages.macys.com/is/image/MCY/13467214 ")</f>
        <v xml:space="preserve">http://slimages.macys.com/is/image/MCY/13467214 </v>
      </c>
    </row>
    <row r="106" spans="1:12" ht="30" customHeight="1" x14ac:dyDescent="0.25">
      <c r="A106" s="5" t="s">
        <v>495</v>
      </c>
      <c r="B106" s="2" t="s">
        <v>496</v>
      </c>
      <c r="C106" s="3">
        <v>1</v>
      </c>
      <c r="D106" s="6">
        <v>29.99</v>
      </c>
      <c r="E106" s="3" t="s">
        <v>497</v>
      </c>
      <c r="F106" s="2" t="s">
        <v>2582</v>
      </c>
      <c r="G106" s="7"/>
      <c r="H106" s="2" t="s">
        <v>2395</v>
      </c>
      <c r="I106" s="2" t="s">
        <v>2396</v>
      </c>
      <c r="J106" s="2" t="s">
        <v>2361</v>
      </c>
      <c r="K106" s="2" t="s">
        <v>1735</v>
      </c>
      <c r="L106" s="8" t="str">
        <f>HYPERLINK("http://slimages.macys.com/is/image/MCY/14607258 ")</f>
        <v xml:space="preserve">http://slimages.macys.com/is/image/MCY/14607258 </v>
      </c>
    </row>
    <row r="107" spans="1:12" ht="30" customHeight="1" x14ac:dyDescent="0.25">
      <c r="A107" s="5" t="s">
        <v>498</v>
      </c>
      <c r="B107" s="2" t="s">
        <v>499</v>
      </c>
      <c r="C107" s="3">
        <v>1</v>
      </c>
      <c r="D107" s="6">
        <v>12.99</v>
      </c>
      <c r="E107" s="3" t="s">
        <v>500</v>
      </c>
      <c r="F107" s="2"/>
      <c r="G107" s="7"/>
      <c r="H107" s="2" t="s">
        <v>2537</v>
      </c>
      <c r="I107" s="2" t="s">
        <v>2538</v>
      </c>
      <c r="J107" s="2" t="s">
        <v>2361</v>
      </c>
      <c r="K107" s="2" t="s">
        <v>2377</v>
      </c>
      <c r="L107" s="8" t="str">
        <f>HYPERLINK("http://slimages.macys.com/is/image/MCY/12406292 ")</f>
        <v xml:space="preserve">http://slimages.macys.com/is/image/MCY/12406292 </v>
      </c>
    </row>
    <row r="108" spans="1:12" ht="30" customHeight="1" x14ac:dyDescent="0.25">
      <c r="A108" s="5" t="s">
        <v>501</v>
      </c>
      <c r="B108" s="2" t="s">
        <v>502</v>
      </c>
      <c r="C108" s="3">
        <v>2</v>
      </c>
      <c r="D108" s="6">
        <v>8.99</v>
      </c>
      <c r="E108" s="3" t="s">
        <v>503</v>
      </c>
      <c r="F108" s="2" t="s">
        <v>2440</v>
      </c>
      <c r="G108" s="7"/>
      <c r="H108" s="2" t="s">
        <v>2537</v>
      </c>
      <c r="I108" s="2" t="s">
        <v>2538</v>
      </c>
      <c r="J108" s="2" t="s">
        <v>2361</v>
      </c>
      <c r="K108" s="2"/>
      <c r="L108" s="8" t="str">
        <f>HYPERLINK("http://slimages.macys.com/is/image/MCY/14426507 ")</f>
        <v xml:space="preserve">http://slimages.macys.com/is/image/MCY/14426507 </v>
      </c>
    </row>
    <row r="109" spans="1:12" ht="30" customHeight="1" x14ac:dyDescent="0.25">
      <c r="A109" s="5" t="s">
        <v>504</v>
      </c>
      <c r="B109" s="2" t="s">
        <v>505</v>
      </c>
      <c r="C109" s="3">
        <v>2</v>
      </c>
      <c r="D109" s="6">
        <v>8.99</v>
      </c>
      <c r="E109" s="3" t="s">
        <v>506</v>
      </c>
      <c r="F109" s="2" t="s">
        <v>2517</v>
      </c>
      <c r="G109" s="7"/>
      <c r="H109" s="2" t="s">
        <v>2537</v>
      </c>
      <c r="I109" s="2" t="s">
        <v>2538</v>
      </c>
      <c r="J109" s="2" t="s">
        <v>2361</v>
      </c>
      <c r="K109" s="2"/>
      <c r="L109" s="8" t="str">
        <f>HYPERLINK("http://slimages.macys.com/is/image/MCY/14426507 ")</f>
        <v xml:space="preserve">http://slimages.macys.com/is/image/MCY/14426507 </v>
      </c>
    </row>
    <row r="110" spans="1:12" ht="30" customHeight="1" x14ac:dyDescent="0.25">
      <c r="A110" s="5" t="s">
        <v>507</v>
      </c>
      <c r="B110" s="2" t="s">
        <v>508</v>
      </c>
      <c r="C110" s="3">
        <v>1</v>
      </c>
      <c r="D110" s="6">
        <v>14.99</v>
      </c>
      <c r="E110" s="3" t="s">
        <v>509</v>
      </c>
      <c r="F110" s="2" t="s">
        <v>2374</v>
      </c>
      <c r="G110" s="7" t="s">
        <v>1578</v>
      </c>
      <c r="H110" s="2" t="s">
        <v>2459</v>
      </c>
      <c r="I110" s="2" t="s">
        <v>2447</v>
      </c>
      <c r="J110" s="2" t="s">
        <v>2361</v>
      </c>
      <c r="K110" s="2" t="s">
        <v>2377</v>
      </c>
      <c r="L110" s="8" t="str">
        <f>HYPERLINK("http://slimages.macys.com/is/image/MCY/9367759 ")</f>
        <v xml:space="preserve">http://slimages.macys.com/is/image/MCY/9367759 </v>
      </c>
    </row>
    <row r="111" spans="1:12" ht="30" customHeight="1" x14ac:dyDescent="0.25">
      <c r="A111" s="5" t="s">
        <v>510</v>
      </c>
      <c r="B111" s="2" t="s">
        <v>511</v>
      </c>
      <c r="C111" s="3">
        <v>1</v>
      </c>
      <c r="D111" s="6">
        <v>49.99</v>
      </c>
      <c r="E111" s="3" t="s">
        <v>512</v>
      </c>
      <c r="F111" s="2" t="s">
        <v>3024</v>
      </c>
      <c r="G111" s="7"/>
      <c r="H111" s="2" t="s">
        <v>2984</v>
      </c>
      <c r="I111" s="2" t="s">
        <v>513</v>
      </c>
      <c r="J111" s="2" t="s">
        <v>514</v>
      </c>
      <c r="K111" s="2" t="s">
        <v>2936</v>
      </c>
      <c r="L111" s="8" t="str">
        <f>HYPERLINK("http://images.bloomingdales.com/is/image/BLM/10158694 ")</f>
        <v xml:space="preserve">http://images.bloomingdales.com/is/image/BLM/10158694 </v>
      </c>
    </row>
    <row r="112" spans="1:12" ht="30" customHeight="1" x14ac:dyDescent="0.25">
      <c r="A112" s="5" t="s">
        <v>515</v>
      </c>
      <c r="B112" s="2" t="s">
        <v>516</v>
      </c>
      <c r="C112" s="3">
        <v>2</v>
      </c>
      <c r="D112" s="6">
        <v>24.99</v>
      </c>
      <c r="E112" s="3" t="s">
        <v>517</v>
      </c>
      <c r="F112" s="2" t="s">
        <v>2597</v>
      </c>
      <c r="G112" s="7" t="s">
        <v>2382</v>
      </c>
      <c r="H112" s="2" t="s">
        <v>2419</v>
      </c>
      <c r="I112" s="2" t="s">
        <v>2632</v>
      </c>
      <c r="J112" s="2" t="s">
        <v>2361</v>
      </c>
      <c r="K112" s="2" t="s">
        <v>2831</v>
      </c>
      <c r="L112" s="8" t="str">
        <f>HYPERLINK("http://slimages.macys.com/is/image/MCY/9483944 ")</f>
        <v xml:space="preserve">http://slimages.macys.com/is/image/MCY/9483944 </v>
      </c>
    </row>
    <row r="113" spans="1:12" ht="30" customHeight="1" x14ac:dyDescent="0.25">
      <c r="A113" s="5" t="s">
        <v>518</v>
      </c>
      <c r="B113" s="2" t="s">
        <v>519</v>
      </c>
      <c r="C113" s="3">
        <v>1</v>
      </c>
      <c r="D113" s="6">
        <v>14.99</v>
      </c>
      <c r="E113" s="3" t="s">
        <v>520</v>
      </c>
      <c r="F113" s="2" t="s">
        <v>2381</v>
      </c>
      <c r="G113" s="7" t="s">
        <v>2382</v>
      </c>
      <c r="H113" s="2" t="s">
        <v>2419</v>
      </c>
      <c r="I113" s="2" t="s">
        <v>2632</v>
      </c>
      <c r="J113" s="2" t="s">
        <v>2361</v>
      </c>
      <c r="K113" s="2" t="s">
        <v>119</v>
      </c>
      <c r="L113" s="8" t="str">
        <f>HYPERLINK("http://slimages.macys.com/is/image/MCY/9456462 ")</f>
        <v xml:space="preserve">http://slimages.macys.com/is/image/MCY/9456462 </v>
      </c>
    </row>
    <row r="114" spans="1:12" ht="30" customHeight="1" x14ac:dyDescent="0.25">
      <c r="A114" s="5" t="s">
        <v>521</v>
      </c>
      <c r="B114" s="2" t="s">
        <v>522</v>
      </c>
      <c r="C114" s="3">
        <v>1</v>
      </c>
      <c r="D114" s="6">
        <v>12.99</v>
      </c>
      <c r="E114" s="3" t="s">
        <v>523</v>
      </c>
      <c r="F114" s="2" t="s">
        <v>2605</v>
      </c>
      <c r="G114" s="7"/>
      <c r="H114" s="2" t="s">
        <v>2446</v>
      </c>
      <c r="I114" s="2" t="s">
        <v>3233</v>
      </c>
      <c r="J114" s="2" t="s">
        <v>2361</v>
      </c>
      <c r="K114" s="2" t="s">
        <v>524</v>
      </c>
      <c r="L114" s="8" t="str">
        <f>HYPERLINK("http://slimages.macys.com/is/image/MCY/15171245 ")</f>
        <v xml:space="preserve">http://slimages.macys.com/is/image/MCY/15171245 </v>
      </c>
    </row>
    <row r="115" spans="1:12" ht="30" customHeight="1" x14ac:dyDescent="0.25">
      <c r="A115" s="5" t="s">
        <v>525</v>
      </c>
      <c r="B115" s="2" t="s">
        <v>526</v>
      </c>
      <c r="C115" s="3">
        <v>1</v>
      </c>
      <c r="D115" s="6">
        <v>4.99</v>
      </c>
      <c r="E115" s="3" t="s">
        <v>527</v>
      </c>
      <c r="F115" s="2" t="s">
        <v>2401</v>
      </c>
      <c r="G115" s="7" t="s">
        <v>2723</v>
      </c>
      <c r="H115" s="2" t="s">
        <v>2446</v>
      </c>
      <c r="I115" s="2" t="s">
        <v>2406</v>
      </c>
      <c r="J115" s="2" t="s">
        <v>2361</v>
      </c>
      <c r="K115" s="2" t="s">
        <v>2448</v>
      </c>
      <c r="L115" s="8" t="str">
        <f>HYPERLINK("http://slimages.macys.com/is/image/MCY/14724370 ")</f>
        <v xml:space="preserve">http://slimages.macys.com/is/image/MCY/14724370 </v>
      </c>
    </row>
    <row r="116" spans="1:12" ht="30" customHeight="1" x14ac:dyDescent="0.25">
      <c r="A116" s="5" t="s">
        <v>528</v>
      </c>
      <c r="B116" s="2" t="s">
        <v>529</v>
      </c>
      <c r="C116" s="3">
        <v>1</v>
      </c>
      <c r="D116" s="6">
        <v>45.99</v>
      </c>
      <c r="E116" s="3" t="s">
        <v>530</v>
      </c>
      <c r="F116" s="2" t="s">
        <v>2953</v>
      </c>
      <c r="G116" s="7"/>
      <c r="H116" s="2" t="s">
        <v>2537</v>
      </c>
      <c r="I116" s="2" t="s">
        <v>3353</v>
      </c>
      <c r="J116" s="2"/>
      <c r="K116" s="2"/>
      <c r="L116" s="8"/>
    </row>
    <row r="117" spans="1:12" ht="30" customHeight="1" x14ac:dyDescent="0.25">
      <c r="A117" s="5" t="s">
        <v>531</v>
      </c>
      <c r="B117" s="2" t="s">
        <v>532</v>
      </c>
      <c r="C117" s="3">
        <v>1</v>
      </c>
      <c r="D117" s="6">
        <v>45.99</v>
      </c>
      <c r="E117" s="3" t="s">
        <v>533</v>
      </c>
      <c r="F117" s="2" t="s">
        <v>2953</v>
      </c>
      <c r="G117" s="7"/>
      <c r="H117" s="2" t="s">
        <v>2537</v>
      </c>
      <c r="I117" s="2" t="s">
        <v>3353</v>
      </c>
      <c r="J117" s="2"/>
      <c r="K117" s="2"/>
      <c r="L117" s="8"/>
    </row>
    <row r="118" spans="1:12" ht="30" customHeight="1" x14ac:dyDescent="0.25">
      <c r="A118" s="5" t="s">
        <v>534</v>
      </c>
      <c r="B118" s="2" t="s">
        <v>535</v>
      </c>
      <c r="C118" s="3">
        <v>1</v>
      </c>
      <c r="D118" s="6">
        <v>21.99</v>
      </c>
      <c r="E118" s="3" t="s">
        <v>536</v>
      </c>
      <c r="F118" s="2"/>
      <c r="G118" s="7"/>
      <c r="H118" s="2" t="s">
        <v>2537</v>
      </c>
      <c r="I118" s="2" t="s">
        <v>2538</v>
      </c>
      <c r="J118" s="2"/>
      <c r="K118" s="2"/>
      <c r="L118" s="8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3" sqref="A3"/>
    </sheetView>
  </sheetViews>
  <sheetFormatPr defaultRowHeight="15" x14ac:dyDescent="0.25"/>
  <cols>
    <col min="1" max="1" width="14.28515625" customWidth="1"/>
    <col min="2" max="2" width="28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24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6.75" x14ac:dyDescent="0.25">
      <c r="A2" s="5" t="s">
        <v>2563</v>
      </c>
      <c r="B2" s="2" t="s">
        <v>2564</v>
      </c>
      <c r="C2" s="3">
        <v>1</v>
      </c>
      <c r="D2" s="6">
        <v>198.99</v>
      </c>
      <c r="E2" s="3" t="s">
        <v>2565</v>
      </c>
      <c r="F2" s="2" t="s">
        <v>2517</v>
      </c>
      <c r="G2" s="7"/>
      <c r="H2" s="2" t="s">
        <v>2359</v>
      </c>
      <c r="I2" s="2" t="s">
        <v>2406</v>
      </c>
      <c r="J2" s="2" t="s">
        <v>2361</v>
      </c>
      <c r="K2" s="2" t="s">
        <v>2566</v>
      </c>
      <c r="L2" s="8" t="str">
        <f>HYPERLINK("http://slimages.macys.com/is/image/MCY/9803586 ")</f>
        <v xml:space="preserve">http://slimages.macys.com/is/image/MCY/9803586 </v>
      </c>
    </row>
    <row r="3" spans="1:12" ht="144.75" x14ac:dyDescent="0.25">
      <c r="A3" s="5" t="s">
        <v>2567</v>
      </c>
      <c r="B3" s="2" t="s">
        <v>2568</v>
      </c>
      <c r="C3" s="3">
        <v>1</v>
      </c>
      <c r="D3" s="6">
        <v>165.99</v>
      </c>
      <c r="E3" s="3" t="s">
        <v>2569</v>
      </c>
      <c r="F3" s="2"/>
      <c r="G3" s="7"/>
      <c r="H3" s="2" t="s">
        <v>2359</v>
      </c>
      <c r="I3" s="2" t="s">
        <v>2406</v>
      </c>
      <c r="J3" s="2" t="s">
        <v>2361</v>
      </c>
      <c r="K3" s="2" t="s">
        <v>2570</v>
      </c>
      <c r="L3" s="8" t="str">
        <f>HYPERLINK("http://slimages.macys.com/is/image/MCY/11112476 ")</f>
        <v xml:space="preserve">http://slimages.macys.com/is/image/MCY/11112476 </v>
      </c>
    </row>
    <row r="4" spans="1:12" ht="156.75" x14ac:dyDescent="0.25">
      <c r="A4" s="5" t="s">
        <v>2571</v>
      </c>
      <c r="B4" s="2" t="s">
        <v>2572</v>
      </c>
      <c r="C4" s="3">
        <v>1</v>
      </c>
      <c r="D4" s="6">
        <v>169.99</v>
      </c>
      <c r="E4" s="3" t="s">
        <v>2573</v>
      </c>
      <c r="F4" s="2" t="s">
        <v>2440</v>
      </c>
      <c r="G4" s="7"/>
      <c r="H4" s="2" t="s">
        <v>2359</v>
      </c>
      <c r="I4" s="2" t="s">
        <v>2406</v>
      </c>
      <c r="J4" s="2" t="s">
        <v>2361</v>
      </c>
      <c r="K4" s="2" t="s">
        <v>2574</v>
      </c>
      <c r="L4" s="8" t="str">
        <f>HYPERLINK("http://slimages.macys.com/is/image/MCY/9627899 ")</f>
        <v xml:space="preserve">http://slimages.macys.com/is/image/MCY/9627899 </v>
      </c>
    </row>
    <row r="5" spans="1:12" ht="24.75" x14ac:dyDescent="0.25">
      <c r="A5" s="5" t="s">
        <v>2575</v>
      </c>
      <c r="B5" s="2" t="s">
        <v>2576</v>
      </c>
      <c r="C5" s="3">
        <v>1</v>
      </c>
      <c r="D5" s="6">
        <v>129.99</v>
      </c>
      <c r="E5" s="3" t="s">
        <v>2577</v>
      </c>
      <c r="F5" s="2" t="s">
        <v>2488</v>
      </c>
      <c r="G5" s="7" t="s">
        <v>2578</v>
      </c>
      <c r="H5" s="2" t="s">
        <v>2375</v>
      </c>
      <c r="I5" s="2" t="s">
        <v>2376</v>
      </c>
      <c r="J5" s="2" t="s">
        <v>2361</v>
      </c>
      <c r="K5" s="2" t="s">
        <v>2377</v>
      </c>
      <c r="L5" s="8" t="str">
        <f>HYPERLINK("http://slimages.macys.com/is/image/MCY/2815827 ")</f>
        <v xml:space="preserve">http://slimages.macys.com/is/image/MCY/2815827 </v>
      </c>
    </row>
    <row r="6" spans="1:12" ht="24.75" x14ac:dyDescent="0.25">
      <c r="A6" s="5" t="s">
        <v>2579</v>
      </c>
      <c r="B6" s="2" t="s">
        <v>2580</v>
      </c>
      <c r="C6" s="3">
        <v>3</v>
      </c>
      <c r="D6" s="6">
        <v>119.99</v>
      </c>
      <c r="E6" s="3" t="s">
        <v>2581</v>
      </c>
      <c r="F6" s="2" t="s">
        <v>2582</v>
      </c>
      <c r="G6" s="7"/>
      <c r="H6" s="2" t="s">
        <v>2419</v>
      </c>
      <c r="I6" s="2" t="s">
        <v>2583</v>
      </c>
      <c r="J6" s="2" t="s">
        <v>2361</v>
      </c>
      <c r="K6" s="2" t="s">
        <v>2377</v>
      </c>
      <c r="L6" s="8" t="str">
        <f>HYPERLINK("http://slimages.macys.com/is/image/MCY/13813270 ")</f>
        <v xml:space="preserve">http://slimages.macys.com/is/image/MCY/13813270 </v>
      </c>
    </row>
    <row r="7" spans="1:12" ht="24.75" x14ac:dyDescent="0.25">
      <c r="A7" s="5" t="s">
        <v>2584</v>
      </c>
      <c r="B7" s="2" t="s">
        <v>2585</v>
      </c>
      <c r="C7" s="3">
        <v>1</v>
      </c>
      <c r="D7" s="6">
        <v>89.99</v>
      </c>
      <c r="E7" s="3" t="s">
        <v>2586</v>
      </c>
      <c r="F7" s="2" t="s">
        <v>2374</v>
      </c>
      <c r="G7" s="7"/>
      <c r="H7" s="2" t="s">
        <v>2412</v>
      </c>
      <c r="I7" s="2" t="s">
        <v>2587</v>
      </c>
      <c r="J7" s="2" t="s">
        <v>2361</v>
      </c>
      <c r="K7" s="2" t="s">
        <v>2588</v>
      </c>
      <c r="L7" s="8" t="str">
        <f>HYPERLINK("http://slimages.macys.com/is/image/MCY/13767795 ")</f>
        <v xml:space="preserve">http://slimages.macys.com/is/image/MCY/13767795 </v>
      </c>
    </row>
    <row r="8" spans="1:12" ht="48.75" x14ac:dyDescent="0.25">
      <c r="A8" s="5" t="s">
        <v>2589</v>
      </c>
      <c r="B8" s="2" t="s">
        <v>2590</v>
      </c>
      <c r="C8" s="3">
        <v>1</v>
      </c>
      <c r="D8" s="6">
        <v>128.99</v>
      </c>
      <c r="E8" s="3" t="s">
        <v>2591</v>
      </c>
      <c r="F8" s="2" t="s">
        <v>2592</v>
      </c>
      <c r="G8" s="7"/>
      <c r="H8" s="2" t="s">
        <v>2419</v>
      </c>
      <c r="I8" s="2" t="s">
        <v>2406</v>
      </c>
      <c r="J8" s="2" t="s">
        <v>2361</v>
      </c>
      <c r="K8" s="2" t="s">
        <v>2593</v>
      </c>
      <c r="L8" s="8" t="str">
        <f>HYPERLINK("http://slimages.macys.com/is/image/MCY/12056510 ")</f>
        <v xml:space="preserve">http://slimages.macys.com/is/image/MCY/12056510 </v>
      </c>
    </row>
    <row r="9" spans="1:12" ht="24.75" x14ac:dyDescent="0.25">
      <c r="A9" s="5" t="s">
        <v>2594</v>
      </c>
      <c r="B9" s="2" t="s">
        <v>2595</v>
      </c>
      <c r="C9" s="3">
        <v>1</v>
      </c>
      <c r="D9" s="6">
        <v>99.99</v>
      </c>
      <c r="E9" s="3" t="s">
        <v>2596</v>
      </c>
      <c r="F9" s="2" t="s">
        <v>2597</v>
      </c>
      <c r="G9" s="7"/>
      <c r="H9" s="2" t="s">
        <v>2395</v>
      </c>
      <c r="I9" s="2" t="s">
        <v>2396</v>
      </c>
      <c r="J9" s="2" t="s">
        <v>2361</v>
      </c>
      <c r="K9" s="2" t="s">
        <v>2598</v>
      </c>
      <c r="L9" s="8" t="str">
        <f>HYPERLINK("http://slimages.macys.com/is/image/MCY/15787487 ")</f>
        <v xml:space="preserve">http://slimages.macys.com/is/image/MCY/15787487 </v>
      </c>
    </row>
    <row r="10" spans="1:12" ht="24.75" x14ac:dyDescent="0.25">
      <c r="A10" s="5" t="s">
        <v>2599</v>
      </c>
      <c r="B10" s="2" t="s">
        <v>2600</v>
      </c>
      <c r="C10" s="3">
        <v>1</v>
      </c>
      <c r="D10" s="6">
        <v>59.99</v>
      </c>
      <c r="E10" s="3">
        <v>887464</v>
      </c>
      <c r="F10" s="2" t="s">
        <v>2601</v>
      </c>
      <c r="G10" s="7"/>
      <c r="H10" s="2" t="s">
        <v>2459</v>
      </c>
      <c r="I10" s="2" t="s">
        <v>2460</v>
      </c>
      <c r="J10" s="2" t="s">
        <v>2361</v>
      </c>
      <c r="K10" s="2" t="s">
        <v>2377</v>
      </c>
      <c r="L10" s="8" t="str">
        <f>HYPERLINK("http://slimages.macys.com/is/image/MCY/15254674 ")</f>
        <v xml:space="preserve">http://slimages.macys.com/is/image/MCY/15254674 </v>
      </c>
    </row>
    <row r="11" spans="1:12" ht="24.75" x14ac:dyDescent="0.25">
      <c r="A11" s="5" t="s">
        <v>2602</v>
      </c>
      <c r="B11" s="2" t="s">
        <v>2603</v>
      </c>
      <c r="C11" s="3">
        <v>1</v>
      </c>
      <c r="D11" s="6">
        <v>77.989999999999995</v>
      </c>
      <c r="E11" s="3" t="s">
        <v>2604</v>
      </c>
      <c r="F11" s="2" t="s">
        <v>2605</v>
      </c>
      <c r="G11" s="7" t="s">
        <v>2606</v>
      </c>
      <c r="H11" s="2" t="s">
        <v>2359</v>
      </c>
      <c r="I11" s="2" t="s">
        <v>2383</v>
      </c>
      <c r="J11" s="2" t="s">
        <v>2361</v>
      </c>
      <c r="K11" s="2" t="s">
        <v>2607</v>
      </c>
      <c r="L11" s="8" t="str">
        <f>HYPERLINK("http://slimages.macys.com/is/image/MCY/10290998 ")</f>
        <v xml:space="preserve">http://slimages.macys.com/is/image/MCY/10290998 </v>
      </c>
    </row>
    <row r="12" spans="1:12" ht="24.75" x14ac:dyDescent="0.25">
      <c r="A12" s="5" t="s">
        <v>2608</v>
      </c>
      <c r="B12" s="2" t="s">
        <v>2609</v>
      </c>
      <c r="C12" s="3">
        <v>2</v>
      </c>
      <c r="D12" s="6">
        <v>85.99</v>
      </c>
      <c r="E12" s="3" t="s">
        <v>2610</v>
      </c>
      <c r="F12" s="2" t="s">
        <v>2394</v>
      </c>
      <c r="G12" s="7" t="s">
        <v>2483</v>
      </c>
      <c r="H12" s="2" t="s">
        <v>2419</v>
      </c>
      <c r="I12" s="2" t="s">
        <v>2611</v>
      </c>
      <c r="J12" s="2" t="s">
        <v>2361</v>
      </c>
      <c r="K12" s="2" t="s">
        <v>2377</v>
      </c>
      <c r="L12" s="8" t="str">
        <f>HYPERLINK("http://slimages.macys.com/is/image/MCY/14805874 ")</f>
        <v xml:space="preserve">http://slimages.macys.com/is/image/MCY/14805874 </v>
      </c>
    </row>
    <row r="13" spans="1:12" ht="24.75" x14ac:dyDescent="0.25">
      <c r="A13" s="5" t="s">
        <v>2612</v>
      </c>
      <c r="B13" s="2" t="s">
        <v>2613</v>
      </c>
      <c r="C13" s="3">
        <v>1</v>
      </c>
      <c r="D13" s="6">
        <v>70.989999999999995</v>
      </c>
      <c r="E13" s="3" t="s">
        <v>2614</v>
      </c>
      <c r="F13" s="2" t="s">
        <v>2517</v>
      </c>
      <c r="G13" s="7"/>
      <c r="H13" s="2" t="s">
        <v>2359</v>
      </c>
      <c r="I13" s="2" t="s">
        <v>2406</v>
      </c>
      <c r="J13" s="2" t="s">
        <v>2361</v>
      </c>
      <c r="K13" s="2" t="s">
        <v>2607</v>
      </c>
      <c r="L13" s="8" t="str">
        <f>HYPERLINK("http://slimages.macys.com/is/image/MCY/9762846 ")</f>
        <v xml:space="preserve">http://slimages.macys.com/is/image/MCY/9762846 </v>
      </c>
    </row>
    <row r="14" spans="1:12" ht="24.75" x14ac:dyDescent="0.25">
      <c r="A14" s="5" t="s">
        <v>2615</v>
      </c>
      <c r="B14" s="2" t="s">
        <v>2616</v>
      </c>
      <c r="C14" s="3">
        <v>4</v>
      </c>
      <c r="D14" s="6">
        <v>62.99</v>
      </c>
      <c r="E14" s="3" t="s">
        <v>2617</v>
      </c>
      <c r="F14" s="2" t="s">
        <v>2458</v>
      </c>
      <c r="G14" s="7" t="s">
        <v>2382</v>
      </c>
      <c r="H14" s="2" t="s">
        <v>2419</v>
      </c>
      <c r="I14" s="2" t="s">
        <v>2618</v>
      </c>
      <c r="J14" s="2" t="s">
        <v>2361</v>
      </c>
      <c r="K14" s="2" t="s">
        <v>2377</v>
      </c>
      <c r="L14" s="8" t="str">
        <f>HYPERLINK("http://slimages.macys.com/is/image/MCY/11586477 ")</f>
        <v xml:space="preserve">http://slimages.macys.com/is/image/MCY/11586477 </v>
      </c>
    </row>
    <row r="15" spans="1:12" ht="36.75" x14ac:dyDescent="0.25">
      <c r="A15" s="5" t="s">
        <v>2619</v>
      </c>
      <c r="B15" s="2" t="s">
        <v>2620</v>
      </c>
      <c r="C15" s="3">
        <v>1</v>
      </c>
      <c r="D15" s="6">
        <v>59.99</v>
      </c>
      <c r="E15" s="3" t="s">
        <v>2621</v>
      </c>
      <c r="F15" s="2" t="s">
        <v>2622</v>
      </c>
      <c r="G15" s="7"/>
      <c r="H15" s="2" t="s">
        <v>2359</v>
      </c>
      <c r="I15" s="2" t="s">
        <v>2406</v>
      </c>
      <c r="J15" s="2" t="s">
        <v>2361</v>
      </c>
      <c r="K15" s="2" t="s">
        <v>2623</v>
      </c>
      <c r="L15" s="8" t="str">
        <f>HYPERLINK("http://slimages.macys.com/is/image/MCY/9812356 ")</f>
        <v xml:space="preserve">http://slimages.macys.com/is/image/MCY/9812356 </v>
      </c>
    </row>
    <row r="16" spans="1:12" ht="60.75" x14ac:dyDescent="0.25">
      <c r="A16" s="5" t="s">
        <v>2624</v>
      </c>
      <c r="B16" s="2" t="s">
        <v>2625</v>
      </c>
      <c r="C16" s="3">
        <v>1</v>
      </c>
      <c r="D16" s="6">
        <v>49.99</v>
      </c>
      <c r="E16" s="3" t="s">
        <v>2626</v>
      </c>
      <c r="F16" s="2" t="s">
        <v>2536</v>
      </c>
      <c r="G16" s="7" t="s">
        <v>2627</v>
      </c>
      <c r="H16" s="2" t="s">
        <v>2419</v>
      </c>
      <c r="I16" s="2" t="s">
        <v>2406</v>
      </c>
      <c r="J16" s="2" t="s">
        <v>2361</v>
      </c>
      <c r="K16" s="2" t="s">
        <v>2628</v>
      </c>
      <c r="L16" s="8" t="str">
        <f>HYPERLINK("http://slimages.macys.com/is/image/MCY/9009150 ")</f>
        <v xml:space="preserve">http://slimages.macys.com/is/image/MCY/9009150 </v>
      </c>
    </row>
    <row r="17" spans="1:12" ht="36.75" x14ac:dyDescent="0.25">
      <c r="A17" s="5" t="s">
        <v>2629</v>
      </c>
      <c r="B17" s="2" t="s">
        <v>2630</v>
      </c>
      <c r="C17" s="3">
        <v>1</v>
      </c>
      <c r="D17" s="6">
        <v>69.989999999999995</v>
      </c>
      <c r="E17" s="3" t="s">
        <v>2631</v>
      </c>
      <c r="F17" s="2" t="s">
        <v>2374</v>
      </c>
      <c r="G17" s="7"/>
      <c r="H17" s="2" t="s">
        <v>2419</v>
      </c>
      <c r="I17" s="2" t="s">
        <v>2632</v>
      </c>
      <c r="J17" s="2" t="s">
        <v>2361</v>
      </c>
      <c r="K17" s="2" t="s">
        <v>2633</v>
      </c>
      <c r="L17" s="8" t="str">
        <f>HYPERLINK("http://slimages.macys.com/is/image/MCY/11543368 ")</f>
        <v xml:space="preserve">http://slimages.macys.com/is/image/MCY/11543368 </v>
      </c>
    </row>
    <row r="18" spans="1:12" ht="24.75" x14ac:dyDescent="0.25">
      <c r="A18" s="5" t="s">
        <v>2456</v>
      </c>
      <c r="B18" s="2" t="s">
        <v>2457</v>
      </c>
      <c r="C18" s="3">
        <v>1</v>
      </c>
      <c r="D18" s="6">
        <v>39.99</v>
      </c>
      <c r="E18" s="3">
        <v>756531</v>
      </c>
      <c r="F18" s="2" t="s">
        <v>2458</v>
      </c>
      <c r="G18" s="7"/>
      <c r="H18" s="2" t="s">
        <v>2459</v>
      </c>
      <c r="I18" s="2" t="s">
        <v>2460</v>
      </c>
      <c r="J18" s="2" t="s">
        <v>2361</v>
      </c>
      <c r="K18" s="2"/>
      <c r="L18" s="8" t="str">
        <f>HYPERLINK("http://slimages.macys.com/is/image/MCY/9790834 ")</f>
        <v xml:space="preserve">http://slimages.macys.com/is/image/MCY/9790834 </v>
      </c>
    </row>
    <row r="19" spans="1:12" ht="24.75" x14ac:dyDescent="0.25">
      <c r="A19" s="5" t="s">
        <v>2634</v>
      </c>
      <c r="B19" s="2" t="s">
        <v>2635</v>
      </c>
      <c r="C19" s="3">
        <v>12</v>
      </c>
      <c r="D19" s="6">
        <v>36.99</v>
      </c>
      <c r="E19" s="3" t="s">
        <v>2636</v>
      </c>
      <c r="F19" s="2" t="s">
        <v>2381</v>
      </c>
      <c r="G19" s="7"/>
      <c r="H19" s="2" t="s">
        <v>2419</v>
      </c>
      <c r="I19" s="2" t="s">
        <v>2406</v>
      </c>
      <c r="J19" s="2" t="s">
        <v>2361</v>
      </c>
      <c r="K19" s="2" t="s">
        <v>2637</v>
      </c>
      <c r="L19" s="8" t="str">
        <f>HYPERLINK("http://slimages.macys.com/is/image/MCY/9539706 ")</f>
        <v xml:space="preserve">http://slimages.macys.com/is/image/MCY/9539706 </v>
      </c>
    </row>
    <row r="20" spans="1:12" ht="24.75" x14ac:dyDescent="0.25">
      <c r="A20" s="5" t="s">
        <v>2638</v>
      </c>
      <c r="B20" s="2" t="s">
        <v>2476</v>
      </c>
      <c r="C20" s="3">
        <v>1</v>
      </c>
      <c r="D20" s="6">
        <v>59.99</v>
      </c>
      <c r="E20" s="3" t="s">
        <v>2639</v>
      </c>
      <c r="F20" s="2" t="s">
        <v>2640</v>
      </c>
      <c r="G20" s="7" t="s">
        <v>2478</v>
      </c>
      <c r="H20" s="2" t="s">
        <v>2473</v>
      </c>
      <c r="I20" s="2" t="s">
        <v>2479</v>
      </c>
      <c r="J20" s="2" t="s">
        <v>2361</v>
      </c>
      <c r="K20" s="2"/>
      <c r="L20" s="8" t="str">
        <f>HYPERLINK("http://slimages.macys.com/is/image/MCY/15202993 ")</f>
        <v xml:space="preserve">http://slimages.macys.com/is/image/MCY/15202993 </v>
      </c>
    </row>
    <row r="21" spans="1:12" ht="36.75" x14ac:dyDescent="0.25">
      <c r="A21" s="5" t="s">
        <v>2641</v>
      </c>
      <c r="B21" s="2" t="s">
        <v>2642</v>
      </c>
      <c r="C21" s="3">
        <v>1</v>
      </c>
      <c r="D21" s="6">
        <v>29.99</v>
      </c>
      <c r="E21" s="3" t="s">
        <v>2643</v>
      </c>
      <c r="F21" s="2" t="s">
        <v>2374</v>
      </c>
      <c r="G21" s="7"/>
      <c r="H21" s="2" t="s">
        <v>2412</v>
      </c>
      <c r="I21" s="2" t="s">
        <v>2644</v>
      </c>
      <c r="J21" s="2" t="s">
        <v>2361</v>
      </c>
      <c r="K21" s="2" t="s">
        <v>2645</v>
      </c>
      <c r="L21" s="8" t="str">
        <f>HYPERLINK("http://slimages.macys.com/is/image/MCY/3962541 ")</f>
        <v xml:space="preserve">http://slimages.macys.com/is/image/MCY/3962541 </v>
      </c>
    </row>
    <row r="22" spans="1:12" ht="24.75" x14ac:dyDescent="0.25">
      <c r="A22" s="5" t="s">
        <v>2646</v>
      </c>
      <c r="B22" s="2" t="s">
        <v>2647</v>
      </c>
      <c r="C22" s="3">
        <v>2</v>
      </c>
      <c r="D22" s="6">
        <v>35.99</v>
      </c>
      <c r="E22" s="3" t="s">
        <v>2648</v>
      </c>
      <c r="F22" s="2" t="s">
        <v>2649</v>
      </c>
      <c r="G22" s="7"/>
      <c r="H22" s="2" t="s">
        <v>2419</v>
      </c>
      <c r="I22" s="2" t="s">
        <v>2406</v>
      </c>
      <c r="J22" s="2" t="s">
        <v>2361</v>
      </c>
      <c r="K22" s="2" t="s">
        <v>2484</v>
      </c>
      <c r="L22" s="8" t="str">
        <f>HYPERLINK("http://slimages.macys.com/is/image/MCY/8216605 ")</f>
        <v xml:space="preserve">http://slimages.macys.com/is/image/MCY/8216605 </v>
      </c>
    </row>
    <row r="23" spans="1:12" ht="24.75" x14ac:dyDescent="0.25">
      <c r="A23" s="5" t="s">
        <v>2650</v>
      </c>
      <c r="B23" s="2" t="s">
        <v>2651</v>
      </c>
      <c r="C23" s="3">
        <v>1</v>
      </c>
      <c r="D23" s="6">
        <v>34.99</v>
      </c>
      <c r="E23" s="3" t="s">
        <v>2652</v>
      </c>
      <c r="F23" s="2" t="s">
        <v>2597</v>
      </c>
      <c r="G23" s="7"/>
      <c r="H23" s="2" t="s">
        <v>2419</v>
      </c>
      <c r="I23" s="2" t="s">
        <v>2406</v>
      </c>
      <c r="J23" s="2" t="s">
        <v>2361</v>
      </c>
      <c r="K23" s="2"/>
      <c r="L23" s="8" t="str">
        <f>HYPERLINK("http://slimages.macys.com/is/image/MCY/16421124 ")</f>
        <v xml:space="preserve">http://slimages.macys.com/is/image/MCY/16421124 </v>
      </c>
    </row>
    <row r="24" spans="1:12" ht="24.75" x14ac:dyDescent="0.25">
      <c r="A24" s="5" t="s">
        <v>2653</v>
      </c>
      <c r="B24" s="2" t="s">
        <v>2654</v>
      </c>
      <c r="C24" s="3">
        <v>5</v>
      </c>
      <c r="D24" s="6">
        <v>34.99</v>
      </c>
      <c r="E24" s="3">
        <v>6580780</v>
      </c>
      <c r="F24" s="2" t="s">
        <v>2530</v>
      </c>
      <c r="G24" s="7" t="s">
        <v>2382</v>
      </c>
      <c r="H24" s="2" t="s">
        <v>2419</v>
      </c>
      <c r="I24" s="2" t="s">
        <v>2655</v>
      </c>
      <c r="J24" s="2" t="s">
        <v>2361</v>
      </c>
      <c r="K24" s="2" t="s">
        <v>2656</v>
      </c>
      <c r="L24" s="8" t="str">
        <f>HYPERLINK("http://slimages.macys.com/is/image/MCY/14366161 ")</f>
        <v xml:space="preserve">http://slimages.macys.com/is/image/MCY/14366161 </v>
      </c>
    </row>
    <row r="25" spans="1:12" ht="24.75" x14ac:dyDescent="0.25">
      <c r="A25" s="5" t="s">
        <v>2657</v>
      </c>
      <c r="B25" s="2" t="s">
        <v>2658</v>
      </c>
      <c r="C25" s="3">
        <v>1</v>
      </c>
      <c r="D25" s="6">
        <v>30.99</v>
      </c>
      <c r="E25" s="3" t="s">
        <v>2659</v>
      </c>
      <c r="F25" s="2" t="s">
        <v>2374</v>
      </c>
      <c r="G25" s="7"/>
      <c r="H25" s="2" t="s">
        <v>2419</v>
      </c>
      <c r="I25" s="2" t="s">
        <v>2406</v>
      </c>
      <c r="J25" s="2" t="s">
        <v>2361</v>
      </c>
      <c r="K25" s="2"/>
      <c r="L25" s="8" t="str">
        <f>HYPERLINK("http://slimages.macys.com/is/image/MCY/10010883 ")</f>
        <v xml:space="preserve">http://slimages.macys.com/is/image/MCY/10010883 </v>
      </c>
    </row>
    <row r="26" spans="1:12" ht="24.75" x14ac:dyDescent="0.25">
      <c r="A26" s="5" t="s">
        <v>2660</v>
      </c>
      <c r="B26" s="2" t="s">
        <v>2661</v>
      </c>
      <c r="C26" s="3">
        <v>2</v>
      </c>
      <c r="D26" s="6">
        <v>34.99</v>
      </c>
      <c r="E26" s="3" t="s">
        <v>2662</v>
      </c>
      <c r="F26" s="2" t="s">
        <v>2530</v>
      </c>
      <c r="G26" s="7" t="s">
        <v>2483</v>
      </c>
      <c r="H26" s="2" t="s">
        <v>2419</v>
      </c>
      <c r="I26" s="2" t="s">
        <v>2406</v>
      </c>
      <c r="J26" s="2" t="s">
        <v>2361</v>
      </c>
      <c r="K26" s="2" t="s">
        <v>2484</v>
      </c>
      <c r="L26" s="8" t="str">
        <f>HYPERLINK("http://slimages.macys.com/is/image/MCY/8810083 ")</f>
        <v xml:space="preserve">http://slimages.macys.com/is/image/MCY/8810083 </v>
      </c>
    </row>
    <row r="27" spans="1:12" ht="24.75" x14ac:dyDescent="0.25">
      <c r="A27" s="5" t="s">
        <v>2663</v>
      </c>
      <c r="B27" s="2" t="s">
        <v>2664</v>
      </c>
      <c r="C27" s="3">
        <v>1</v>
      </c>
      <c r="D27" s="6">
        <v>39.99</v>
      </c>
      <c r="E27" s="3" t="s">
        <v>2665</v>
      </c>
      <c r="F27" s="2" t="s">
        <v>2374</v>
      </c>
      <c r="G27" s="7" t="s">
        <v>2666</v>
      </c>
      <c r="H27" s="2" t="s">
        <v>2465</v>
      </c>
      <c r="I27" s="2" t="s">
        <v>2667</v>
      </c>
      <c r="J27" s="2" t="s">
        <v>2467</v>
      </c>
      <c r="K27" s="2"/>
      <c r="L27" s="8" t="str">
        <f>HYPERLINK("http://slimages.macys.com/is/image/MCY/8557137 ")</f>
        <v xml:space="preserve">http://slimages.macys.com/is/image/MCY/8557137 </v>
      </c>
    </row>
    <row r="28" spans="1:12" ht="24.75" x14ac:dyDescent="0.25">
      <c r="A28" s="5" t="s">
        <v>2668</v>
      </c>
      <c r="B28" s="2" t="s">
        <v>2669</v>
      </c>
      <c r="C28" s="3">
        <v>1</v>
      </c>
      <c r="D28" s="6">
        <v>29.99</v>
      </c>
      <c r="E28" s="3" t="s">
        <v>2670</v>
      </c>
      <c r="F28" s="2" t="s">
        <v>2622</v>
      </c>
      <c r="G28" s="7"/>
      <c r="H28" s="2" t="s">
        <v>2459</v>
      </c>
      <c r="I28" s="2" t="s">
        <v>2406</v>
      </c>
      <c r="J28" s="2" t="s">
        <v>2361</v>
      </c>
      <c r="K28" s="2" t="s">
        <v>2671</v>
      </c>
      <c r="L28" s="8" t="str">
        <f>HYPERLINK("http://slimages.macys.com/is/image/MCY/10082151 ")</f>
        <v xml:space="preserve">http://slimages.macys.com/is/image/MCY/10082151 </v>
      </c>
    </row>
    <row r="29" spans="1:12" ht="24.75" x14ac:dyDescent="0.25">
      <c r="A29" s="5" t="s">
        <v>2672</v>
      </c>
      <c r="B29" s="2" t="s">
        <v>2673</v>
      </c>
      <c r="C29" s="3">
        <v>1</v>
      </c>
      <c r="D29" s="6">
        <v>29.99</v>
      </c>
      <c r="E29" s="3" t="s">
        <v>2674</v>
      </c>
      <c r="F29" s="2" t="s">
        <v>2381</v>
      </c>
      <c r="G29" s="7"/>
      <c r="H29" s="2" t="s">
        <v>2675</v>
      </c>
      <c r="I29" s="2" t="s">
        <v>2676</v>
      </c>
      <c r="J29" s="2" t="s">
        <v>2361</v>
      </c>
      <c r="K29" s="2" t="s">
        <v>2677</v>
      </c>
      <c r="L29" s="8" t="str">
        <f>HYPERLINK("http://slimages.macys.com/is/image/MCY/854719 ")</f>
        <v xml:space="preserve">http://slimages.macys.com/is/image/MCY/854719 </v>
      </c>
    </row>
    <row r="30" spans="1:12" ht="24.75" x14ac:dyDescent="0.25">
      <c r="A30" s="5" t="s">
        <v>2678</v>
      </c>
      <c r="B30" s="2" t="s">
        <v>2679</v>
      </c>
      <c r="C30" s="3">
        <v>1</v>
      </c>
      <c r="D30" s="6">
        <v>37.99</v>
      </c>
      <c r="E30" s="3" t="s">
        <v>2680</v>
      </c>
      <c r="F30" s="2" t="s">
        <v>2681</v>
      </c>
      <c r="G30" s="7"/>
      <c r="H30" s="2" t="s">
        <v>2419</v>
      </c>
      <c r="I30" s="2" t="s">
        <v>2632</v>
      </c>
      <c r="J30" s="2" t="s">
        <v>2361</v>
      </c>
      <c r="K30" s="2" t="s">
        <v>2397</v>
      </c>
      <c r="L30" s="8" t="str">
        <f>HYPERLINK("http://slimages.macys.com/is/image/MCY/10429983 ")</f>
        <v xml:space="preserve">http://slimages.macys.com/is/image/MCY/10429983 </v>
      </c>
    </row>
    <row r="31" spans="1:12" ht="24.75" x14ac:dyDescent="0.25">
      <c r="A31" s="5" t="s">
        <v>2682</v>
      </c>
      <c r="B31" s="2" t="s">
        <v>2683</v>
      </c>
      <c r="C31" s="3">
        <v>1</v>
      </c>
      <c r="D31" s="6">
        <v>22.99</v>
      </c>
      <c r="E31" s="3" t="s">
        <v>2684</v>
      </c>
      <c r="F31" s="2" t="s">
        <v>2464</v>
      </c>
      <c r="G31" s="7" t="s">
        <v>2382</v>
      </c>
      <c r="H31" s="2" t="s">
        <v>2419</v>
      </c>
      <c r="I31" s="2" t="s">
        <v>2685</v>
      </c>
      <c r="J31" s="2" t="s">
        <v>2361</v>
      </c>
      <c r="K31" s="2" t="s">
        <v>2656</v>
      </c>
      <c r="L31" s="8" t="str">
        <f>HYPERLINK("http://slimages.macys.com/is/image/MCY/10261031 ")</f>
        <v xml:space="preserve">http://slimages.macys.com/is/image/MCY/10261031 </v>
      </c>
    </row>
    <row r="32" spans="1:12" ht="24.75" x14ac:dyDescent="0.25">
      <c r="A32" s="5" t="s">
        <v>2686</v>
      </c>
      <c r="B32" s="2" t="s">
        <v>2687</v>
      </c>
      <c r="C32" s="3">
        <v>1</v>
      </c>
      <c r="D32" s="6">
        <v>22.99</v>
      </c>
      <c r="E32" s="3" t="s">
        <v>2688</v>
      </c>
      <c r="F32" s="2" t="s">
        <v>2536</v>
      </c>
      <c r="G32" s="7" t="s">
        <v>2518</v>
      </c>
      <c r="H32" s="2" t="s">
        <v>2419</v>
      </c>
      <c r="I32" s="2" t="s">
        <v>2406</v>
      </c>
      <c r="J32" s="2" t="s">
        <v>2361</v>
      </c>
      <c r="K32" s="2" t="s">
        <v>2377</v>
      </c>
      <c r="L32" s="8" t="str">
        <f>HYPERLINK("http://slimages.macys.com/is/image/MCY/16421101 ")</f>
        <v xml:space="preserve">http://slimages.macys.com/is/image/MCY/16421101 </v>
      </c>
    </row>
    <row r="33" spans="1:12" ht="24.75" x14ac:dyDescent="0.25">
      <c r="A33" s="5" t="s">
        <v>2689</v>
      </c>
      <c r="B33" s="2" t="s">
        <v>2690</v>
      </c>
      <c r="C33" s="3">
        <v>2</v>
      </c>
      <c r="D33" s="6">
        <v>19.989999999999998</v>
      </c>
      <c r="E33" s="3">
        <v>1003703300</v>
      </c>
      <c r="F33" s="2" t="s">
        <v>2517</v>
      </c>
      <c r="G33" s="7" t="s">
        <v>2691</v>
      </c>
      <c r="H33" s="2" t="s">
        <v>2532</v>
      </c>
      <c r="I33" s="2" t="s">
        <v>2692</v>
      </c>
      <c r="J33" s="2" t="s">
        <v>2361</v>
      </c>
      <c r="K33" s="2" t="s">
        <v>2508</v>
      </c>
      <c r="L33" s="8" t="str">
        <f>HYPERLINK("http://slimages.macys.com/is/image/MCY/10816175 ")</f>
        <v xml:space="preserve">http://slimages.macys.com/is/image/MCY/10816175 </v>
      </c>
    </row>
    <row r="34" spans="1:12" ht="24.75" x14ac:dyDescent="0.25">
      <c r="A34" s="5" t="s">
        <v>2693</v>
      </c>
      <c r="B34" s="2" t="s">
        <v>2694</v>
      </c>
      <c r="C34" s="3">
        <v>1</v>
      </c>
      <c r="D34" s="6">
        <v>19.989999999999998</v>
      </c>
      <c r="E34" s="3" t="s">
        <v>2695</v>
      </c>
      <c r="F34" s="2" t="s">
        <v>2696</v>
      </c>
      <c r="G34" s="7"/>
      <c r="H34" s="2" t="s">
        <v>2419</v>
      </c>
      <c r="I34" s="2" t="s">
        <v>2697</v>
      </c>
      <c r="J34" s="2" t="s">
        <v>2361</v>
      </c>
      <c r="K34" s="2" t="s">
        <v>2377</v>
      </c>
      <c r="L34" s="8" t="str">
        <f>HYPERLINK("http://slimages.macys.com/is/image/MCY/8759583 ")</f>
        <v xml:space="preserve">http://slimages.macys.com/is/image/MCY/8759583 </v>
      </c>
    </row>
    <row r="35" spans="1:12" ht="24.75" x14ac:dyDescent="0.25">
      <c r="A35" s="5" t="s">
        <v>2698</v>
      </c>
      <c r="B35" s="2" t="s">
        <v>2699</v>
      </c>
      <c r="C35" s="3">
        <v>1</v>
      </c>
      <c r="D35" s="6">
        <v>19.989999999999998</v>
      </c>
      <c r="E35" s="3" t="s">
        <v>2700</v>
      </c>
      <c r="F35" s="2" t="s">
        <v>2381</v>
      </c>
      <c r="G35" s="7"/>
      <c r="H35" s="2" t="s">
        <v>2412</v>
      </c>
      <c r="I35" s="2" t="s">
        <v>2701</v>
      </c>
      <c r="J35" s="2" t="s">
        <v>2361</v>
      </c>
      <c r="K35" s="2"/>
      <c r="L35" s="8" t="str">
        <f>HYPERLINK("http://slimages.macys.com/is/image/MCY/11982119 ")</f>
        <v xml:space="preserve">http://slimages.macys.com/is/image/MCY/11982119 </v>
      </c>
    </row>
    <row r="36" spans="1:12" ht="36.75" x14ac:dyDescent="0.25">
      <c r="A36" s="5" t="s">
        <v>2702</v>
      </c>
      <c r="B36" s="2" t="s">
        <v>2703</v>
      </c>
      <c r="C36" s="3">
        <v>1</v>
      </c>
      <c r="D36" s="6">
        <v>24.99</v>
      </c>
      <c r="E36" s="3" t="s">
        <v>2704</v>
      </c>
      <c r="F36" s="2" t="s">
        <v>2374</v>
      </c>
      <c r="G36" s="7" t="s">
        <v>2705</v>
      </c>
      <c r="H36" s="2" t="s">
        <v>2412</v>
      </c>
      <c r="I36" s="2" t="s">
        <v>2413</v>
      </c>
      <c r="J36" s="2" t="s">
        <v>2361</v>
      </c>
      <c r="K36" s="2" t="s">
        <v>2706</v>
      </c>
      <c r="L36" s="8" t="str">
        <f>HYPERLINK("http://slimages.macys.com/is/image/MCY/15060036 ")</f>
        <v xml:space="preserve">http://slimages.macys.com/is/image/MCY/15060036 </v>
      </c>
    </row>
    <row r="37" spans="1:12" ht="24.75" x14ac:dyDescent="0.25">
      <c r="A37" s="5" t="s">
        <v>2707</v>
      </c>
      <c r="B37" s="2" t="s">
        <v>2525</v>
      </c>
      <c r="C37" s="3">
        <v>2</v>
      </c>
      <c r="D37" s="6">
        <v>34.99</v>
      </c>
      <c r="E37" s="3" t="s">
        <v>2526</v>
      </c>
      <c r="F37" s="2" t="s">
        <v>2401</v>
      </c>
      <c r="G37" s="7"/>
      <c r="H37" s="2" t="s">
        <v>2395</v>
      </c>
      <c r="I37" s="2" t="s">
        <v>2527</v>
      </c>
      <c r="J37" s="2" t="s">
        <v>2361</v>
      </c>
      <c r="K37" s="2" t="s">
        <v>2377</v>
      </c>
      <c r="L37" s="8" t="str">
        <f>HYPERLINK("http://slimages.macys.com/is/image/MCY/14601403 ")</f>
        <v xml:space="preserve">http://slimages.macys.com/is/image/MCY/14601403 </v>
      </c>
    </row>
    <row r="38" spans="1:12" ht="36.75" x14ac:dyDescent="0.25">
      <c r="A38" s="5" t="s">
        <v>2708</v>
      </c>
      <c r="B38" s="2" t="s">
        <v>2709</v>
      </c>
      <c r="C38" s="3">
        <v>1</v>
      </c>
      <c r="D38" s="6">
        <v>34.99</v>
      </c>
      <c r="E38" s="3" t="s">
        <v>2710</v>
      </c>
      <c r="F38" s="2" t="s">
        <v>2536</v>
      </c>
      <c r="G38" s="7"/>
      <c r="H38" s="2" t="s">
        <v>2395</v>
      </c>
      <c r="I38" s="2" t="s">
        <v>2396</v>
      </c>
      <c r="J38" s="2" t="s">
        <v>2432</v>
      </c>
      <c r="K38" s="2" t="s">
        <v>2711</v>
      </c>
      <c r="L38" s="8" t="str">
        <f>HYPERLINK("http://slimages.macys.com/is/image/MCY/11312836 ")</f>
        <v xml:space="preserve">http://slimages.macys.com/is/image/MCY/11312836 </v>
      </c>
    </row>
    <row r="39" spans="1:12" ht="24.75" x14ac:dyDescent="0.25">
      <c r="A39" s="5" t="s">
        <v>2712</v>
      </c>
      <c r="B39" s="2" t="s">
        <v>2713</v>
      </c>
      <c r="C39" s="3">
        <v>1</v>
      </c>
      <c r="D39" s="6">
        <v>29.99</v>
      </c>
      <c r="E39" s="3" t="s">
        <v>2714</v>
      </c>
      <c r="F39" s="2" t="s">
        <v>2374</v>
      </c>
      <c r="G39" s="7"/>
      <c r="H39" s="2" t="s">
        <v>2395</v>
      </c>
      <c r="I39" s="2" t="s">
        <v>2396</v>
      </c>
      <c r="J39" s="2" t="s">
        <v>2432</v>
      </c>
      <c r="K39" s="2" t="s">
        <v>2397</v>
      </c>
      <c r="L39" s="8" t="str">
        <f>HYPERLINK("http://slimages.macys.com/is/image/MCY/12071637 ")</f>
        <v xml:space="preserve">http://slimages.macys.com/is/image/MCY/12071637 </v>
      </c>
    </row>
    <row r="40" spans="1:12" ht="24.75" x14ac:dyDescent="0.25">
      <c r="A40" s="5" t="s">
        <v>2715</v>
      </c>
      <c r="B40" s="2" t="s">
        <v>2716</v>
      </c>
      <c r="C40" s="3">
        <v>2</v>
      </c>
      <c r="D40" s="6">
        <v>14.99</v>
      </c>
      <c r="E40" s="3">
        <v>56302</v>
      </c>
      <c r="F40" s="2" t="s">
        <v>2458</v>
      </c>
      <c r="G40" s="7"/>
      <c r="H40" s="2" t="s">
        <v>2419</v>
      </c>
      <c r="I40" s="2" t="s">
        <v>2697</v>
      </c>
      <c r="J40" s="2" t="s">
        <v>2361</v>
      </c>
      <c r="K40" s="2"/>
      <c r="L40" s="8" t="str">
        <f>HYPERLINK("http://slimages.macys.com/is/image/MCY/9644198 ")</f>
        <v xml:space="preserve">http://slimages.macys.com/is/image/MCY/9644198 </v>
      </c>
    </row>
    <row r="41" spans="1:12" ht="24.75" x14ac:dyDescent="0.25">
      <c r="A41" s="5" t="s">
        <v>2717</v>
      </c>
      <c r="B41" s="2" t="s">
        <v>2718</v>
      </c>
      <c r="C41" s="3">
        <v>1</v>
      </c>
      <c r="D41" s="6">
        <v>15.99</v>
      </c>
      <c r="E41" s="3" t="s">
        <v>2719</v>
      </c>
      <c r="F41" s="2" t="s">
        <v>2517</v>
      </c>
      <c r="G41" s="7"/>
      <c r="H41" s="2" t="s">
        <v>2419</v>
      </c>
      <c r="I41" s="2" t="s">
        <v>2632</v>
      </c>
      <c r="J41" s="2" t="s">
        <v>2361</v>
      </c>
      <c r="K41" s="2" t="s">
        <v>2377</v>
      </c>
      <c r="L41" s="8" t="str">
        <f>HYPERLINK("http://slimages.macys.com/is/image/MCY/12712491 ")</f>
        <v xml:space="preserve">http://slimages.macys.com/is/image/MCY/12712491 </v>
      </c>
    </row>
    <row r="42" spans="1:12" ht="24.75" x14ac:dyDescent="0.25">
      <c r="A42" s="5" t="s">
        <v>2720</v>
      </c>
      <c r="B42" s="2" t="s">
        <v>2721</v>
      </c>
      <c r="C42" s="3">
        <v>1</v>
      </c>
      <c r="D42" s="6">
        <v>9.99</v>
      </c>
      <c r="E42" s="3" t="s">
        <v>2722</v>
      </c>
      <c r="F42" s="2" t="s">
        <v>2394</v>
      </c>
      <c r="G42" s="7" t="s">
        <v>2723</v>
      </c>
      <c r="H42" s="2" t="s">
        <v>2446</v>
      </c>
      <c r="I42" s="2" t="s">
        <v>2547</v>
      </c>
      <c r="J42" s="2" t="s">
        <v>2361</v>
      </c>
      <c r="K42" s="2" t="s">
        <v>2508</v>
      </c>
      <c r="L42" s="8" t="str">
        <f>HYPERLINK("http://slimages.macys.com/is/image/MCY/1119571 ")</f>
        <v xml:space="preserve">http://slimages.macys.com/is/image/MCY/1119571 </v>
      </c>
    </row>
    <row r="43" spans="1:12" ht="24.75" x14ac:dyDescent="0.25">
      <c r="A43" s="5" t="s">
        <v>2724</v>
      </c>
      <c r="B43" s="2" t="s">
        <v>2725</v>
      </c>
      <c r="C43" s="3">
        <v>1</v>
      </c>
      <c r="D43" s="6">
        <v>44.99</v>
      </c>
      <c r="E43" s="3" t="s">
        <v>2726</v>
      </c>
      <c r="F43" s="2"/>
      <c r="G43" s="7"/>
      <c r="H43" s="2" t="s">
        <v>2359</v>
      </c>
      <c r="I43" s="2" t="s">
        <v>2727</v>
      </c>
      <c r="J43" s="2"/>
      <c r="K43" s="2"/>
      <c r="L43" s="8"/>
    </row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/>
  </sheetViews>
  <sheetFormatPr defaultRowHeight="15" x14ac:dyDescent="0.25"/>
  <cols>
    <col min="1" max="1" width="14.28515625" customWidth="1"/>
    <col min="2" max="2" width="43.42578125" customWidth="1"/>
    <col min="3" max="4" width="15" customWidth="1"/>
    <col min="5" max="5" width="14.85546875" customWidth="1"/>
    <col min="6" max="8" width="11.42578125" customWidth="1"/>
    <col min="9" max="9" width="7.42578125" customWidth="1"/>
    <col min="10" max="10" width="10.85546875" customWidth="1"/>
    <col min="11" max="11" width="12.140625" customWidth="1"/>
    <col min="12" max="12" width="36.140625" bestFit="1" customWidth="1"/>
    <col min="13" max="14" width="20.7109375" customWidth="1"/>
    <col min="15" max="15" width="64.28515625" customWidth="1"/>
  </cols>
  <sheetData>
    <row r="1" spans="1:15" ht="36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2341</v>
      </c>
      <c r="I1" s="1" t="s">
        <v>2339</v>
      </c>
      <c r="J1" s="1" t="s">
        <v>2340</v>
      </c>
      <c r="K1" s="1" t="s">
        <v>2351</v>
      </c>
      <c r="L1" s="1" t="s">
        <v>2352</v>
      </c>
      <c r="M1" s="1" t="s">
        <v>2353</v>
      </c>
      <c r="N1" s="1" t="s">
        <v>2354</v>
      </c>
      <c r="O1" s="1" t="s">
        <v>2355</v>
      </c>
    </row>
    <row r="2" spans="1:15" ht="24.75" x14ac:dyDescent="0.25">
      <c r="A2" s="5" t="s">
        <v>537</v>
      </c>
      <c r="B2" s="2" t="s">
        <v>538</v>
      </c>
      <c r="C2" s="3">
        <v>6</v>
      </c>
      <c r="D2" s="6">
        <v>695</v>
      </c>
      <c r="E2" s="3">
        <v>8051275258841</v>
      </c>
      <c r="F2" s="2" t="s">
        <v>2793</v>
      </c>
      <c r="G2" s="7"/>
      <c r="H2" s="4">
        <v>90.6</v>
      </c>
      <c r="I2" s="4">
        <v>543.6</v>
      </c>
      <c r="J2" s="2" t="s">
        <v>539</v>
      </c>
      <c r="K2" s="2" t="s">
        <v>2359</v>
      </c>
      <c r="L2" s="2" t="s">
        <v>540</v>
      </c>
      <c r="M2" s="2" t="s">
        <v>541</v>
      </c>
      <c r="N2" s="2" t="s">
        <v>2397</v>
      </c>
      <c r="O2" s="8" t="str">
        <f>HYPERLINK("http://images.bloomingdales.com/is/image/BLM/9728721 ")</f>
        <v xml:space="preserve">http://images.bloomingdales.com/is/image/BLM/9728721 </v>
      </c>
    </row>
    <row r="3" spans="1:15" ht="24.75" x14ac:dyDescent="0.25">
      <c r="A3" s="5" t="s">
        <v>542</v>
      </c>
      <c r="B3" s="2" t="s">
        <v>543</v>
      </c>
      <c r="C3" s="3">
        <v>3</v>
      </c>
      <c r="D3" s="6">
        <v>750</v>
      </c>
      <c r="E3" s="3">
        <v>5606454026709</v>
      </c>
      <c r="F3" s="2" t="s">
        <v>2601</v>
      </c>
      <c r="G3" s="7"/>
      <c r="H3" s="4">
        <v>90.3</v>
      </c>
      <c r="I3" s="4">
        <v>270.89999999999998</v>
      </c>
      <c r="J3" s="2" t="s">
        <v>539</v>
      </c>
      <c r="K3" s="2" t="s">
        <v>544</v>
      </c>
      <c r="L3" s="2" t="s">
        <v>545</v>
      </c>
      <c r="M3" s="2" t="s">
        <v>546</v>
      </c>
      <c r="N3" s="2" t="s">
        <v>547</v>
      </c>
      <c r="O3" s="8" t="str">
        <f>HYPERLINK("http://images.bloomingdales.com/is/image/BLM/10769896 ")</f>
        <v xml:space="preserve">http://images.bloomingdales.com/is/image/BLM/10769896 </v>
      </c>
    </row>
    <row r="4" spans="1:15" ht="24.75" x14ac:dyDescent="0.25">
      <c r="A4" s="5" t="s">
        <v>548</v>
      </c>
      <c r="B4" s="2" t="s">
        <v>543</v>
      </c>
      <c r="C4" s="3">
        <v>1</v>
      </c>
      <c r="D4" s="6">
        <v>425</v>
      </c>
      <c r="E4" s="3">
        <v>5606454026723</v>
      </c>
      <c r="F4" s="2" t="s">
        <v>2601</v>
      </c>
      <c r="G4" s="7" t="s">
        <v>3421</v>
      </c>
      <c r="H4" s="4">
        <v>51</v>
      </c>
      <c r="I4" s="4">
        <v>51</v>
      </c>
      <c r="J4" s="2" t="s">
        <v>539</v>
      </c>
      <c r="K4" s="2" t="s">
        <v>544</v>
      </c>
      <c r="L4" s="2" t="s">
        <v>545</v>
      </c>
      <c r="M4" s="2" t="s">
        <v>546</v>
      </c>
      <c r="N4" s="2" t="s">
        <v>547</v>
      </c>
      <c r="O4" s="8" t="str">
        <f>HYPERLINK("http://images.bloomingdales.com/is/image/BLM/10769895 ")</f>
        <v xml:space="preserve">http://images.bloomingdales.com/is/image/BLM/10769895 </v>
      </c>
    </row>
    <row r="5" spans="1:15" ht="24.75" x14ac:dyDescent="0.25">
      <c r="A5" s="5" t="s">
        <v>549</v>
      </c>
      <c r="B5" s="2" t="s">
        <v>550</v>
      </c>
      <c r="C5" s="3">
        <v>3</v>
      </c>
      <c r="D5" s="6">
        <v>335</v>
      </c>
      <c r="E5" s="3">
        <v>8051275304531</v>
      </c>
      <c r="F5" s="2" t="s">
        <v>2472</v>
      </c>
      <c r="G5" s="7"/>
      <c r="H5" s="4">
        <v>48</v>
      </c>
      <c r="I5" s="4">
        <v>144</v>
      </c>
      <c r="J5" s="2" t="s">
        <v>539</v>
      </c>
      <c r="K5" s="2" t="s">
        <v>2359</v>
      </c>
      <c r="L5" s="2" t="s">
        <v>540</v>
      </c>
      <c r="M5" s="2" t="s">
        <v>541</v>
      </c>
      <c r="N5" s="2" t="s">
        <v>2397</v>
      </c>
      <c r="O5" s="8" t="str">
        <f>HYPERLINK("http://images.bloomingdales.com/is/image/BLM/9728728 ")</f>
        <v xml:space="preserve">http://images.bloomingdales.com/is/image/BLM/9728728 </v>
      </c>
    </row>
    <row r="6" spans="1:15" ht="24.75" x14ac:dyDescent="0.25">
      <c r="A6" s="5" t="s">
        <v>551</v>
      </c>
      <c r="B6" s="2" t="s">
        <v>543</v>
      </c>
      <c r="C6" s="3">
        <v>2</v>
      </c>
      <c r="D6" s="6">
        <v>395</v>
      </c>
      <c r="E6" s="3">
        <v>5606454026730</v>
      </c>
      <c r="F6" s="2" t="s">
        <v>2601</v>
      </c>
      <c r="G6" s="7"/>
      <c r="H6" s="4">
        <v>46.5</v>
      </c>
      <c r="I6" s="4">
        <v>93</v>
      </c>
      <c r="J6" s="2" t="s">
        <v>539</v>
      </c>
      <c r="K6" s="2" t="s">
        <v>544</v>
      </c>
      <c r="L6" s="2" t="s">
        <v>545</v>
      </c>
      <c r="M6" s="2" t="s">
        <v>546</v>
      </c>
      <c r="N6" s="2" t="s">
        <v>547</v>
      </c>
      <c r="O6" s="8" t="str">
        <f>HYPERLINK("http://images.bloomingdales.com/is/image/BLM/10769895 ")</f>
        <v xml:space="preserve">http://images.bloomingdales.com/is/image/BLM/10769895 </v>
      </c>
    </row>
    <row r="7" spans="1:15" ht="24.75" x14ac:dyDescent="0.25">
      <c r="A7" s="5" t="s">
        <v>552</v>
      </c>
      <c r="B7" s="2" t="s">
        <v>538</v>
      </c>
      <c r="C7" s="3">
        <v>2</v>
      </c>
      <c r="D7" s="6">
        <v>335</v>
      </c>
      <c r="E7" s="3">
        <v>8051275259343</v>
      </c>
      <c r="F7" s="2" t="s">
        <v>2793</v>
      </c>
      <c r="G7" s="7"/>
      <c r="H7" s="4">
        <v>43.2</v>
      </c>
      <c r="I7" s="4">
        <v>86.4</v>
      </c>
      <c r="J7" s="2" t="s">
        <v>539</v>
      </c>
      <c r="K7" s="2" t="s">
        <v>2359</v>
      </c>
      <c r="L7" s="2" t="s">
        <v>540</v>
      </c>
      <c r="M7" s="2" t="s">
        <v>541</v>
      </c>
      <c r="N7" s="2" t="s">
        <v>2397</v>
      </c>
      <c r="O7" s="8" t="str">
        <f>HYPERLINK("http://images.bloomingdales.com/is/image/BLM/9728728 ")</f>
        <v xml:space="preserve">http://images.bloomingdales.com/is/image/BLM/9728728 </v>
      </c>
    </row>
    <row r="8" spans="1:15" ht="24.75" x14ac:dyDescent="0.25">
      <c r="A8" s="5" t="s">
        <v>553</v>
      </c>
      <c r="B8" s="2" t="s">
        <v>538</v>
      </c>
      <c r="C8" s="3">
        <v>4</v>
      </c>
      <c r="D8" s="6">
        <v>295</v>
      </c>
      <c r="E8" s="3">
        <v>8051275258698</v>
      </c>
      <c r="F8" s="2" t="s">
        <v>2793</v>
      </c>
      <c r="G8" s="7"/>
      <c r="H8" s="4">
        <v>35.700000000000003</v>
      </c>
      <c r="I8" s="4">
        <v>142.80000000000001</v>
      </c>
      <c r="J8" s="2" t="s">
        <v>539</v>
      </c>
      <c r="K8" s="2" t="s">
        <v>2359</v>
      </c>
      <c r="L8" s="2" t="s">
        <v>540</v>
      </c>
      <c r="M8" s="2" t="s">
        <v>541</v>
      </c>
      <c r="N8" s="2" t="s">
        <v>2397</v>
      </c>
      <c r="O8" s="8" t="str">
        <f>HYPERLINK("http://images.bloomingdales.com/is/image/BLM/9728720 ")</f>
        <v xml:space="preserve">http://images.bloomingdales.com/is/image/BLM/9728720 </v>
      </c>
    </row>
    <row r="9" spans="1:15" ht="24.75" x14ac:dyDescent="0.25">
      <c r="A9" s="5" t="s">
        <v>554</v>
      </c>
      <c r="B9" s="2" t="s">
        <v>555</v>
      </c>
      <c r="C9" s="3">
        <v>1</v>
      </c>
      <c r="D9" s="6">
        <v>245</v>
      </c>
      <c r="E9" s="3">
        <v>8051275240471</v>
      </c>
      <c r="F9" s="2" t="s">
        <v>2793</v>
      </c>
      <c r="G9" s="7"/>
      <c r="H9" s="4">
        <v>32.700000000000003</v>
      </c>
      <c r="I9" s="4">
        <v>32.700000000000003</v>
      </c>
      <c r="J9" s="2" t="s">
        <v>539</v>
      </c>
      <c r="K9" s="2" t="s">
        <v>2359</v>
      </c>
      <c r="L9" s="2" t="s">
        <v>540</v>
      </c>
      <c r="M9" s="2" t="s">
        <v>541</v>
      </c>
      <c r="N9" s="2" t="s">
        <v>556</v>
      </c>
      <c r="O9" s="8" t="str">
        <f>HYPERLINK("http://images.bloomingdales.com/is/image/BLM/9574944 ")</f>
        <v xml:space="preserve">http://images.bloomingdales.com/is/image/BLM/9574944 </v>
      </c>
    </row>
    <row r="10" spans="1:15" ht="24.75" x14ac:dyDescent="0.25">
      <c r="A10" s="5" t="s">
        <v>557</v>
      </c>
      <c r="B10" s="2" t="s">
        <v>558</v>
      </c>
      <c r="C10" s="3">
        <v>1</v>
      </c>
      <c r="D10" s="6">
        <v>239</v>
      </c>
      <c r="E10" s="3" t="s">
        <v>559</v>
      </c>
      <c r="F10" s="2" t="s">
        <v>3038</v>
      </c>
      <c r="G10" s="7"/>
      <c r="H10" s="4">
        <v>30.114000000000001</v>
      </c>
      <c r="I10" s="4">
        <v>30.114000000000001</v>
      </c>
      <c r="J10" s="2" t="s">
        <v>539</v>
      </c>
      <c r="K10" s="2" t="s">
        <v>1871</v>
      </c>
      <c r="L10" s="2" t="s">
        <v>560</v>
      </c>
      <c r="M10" s="2" t="s">
        <v>546</v>
      </c>
      <c r="N10" s="2" t="s">
        <v>561</v>
      </c>
      <c r="O10" s="8" t="str">
        <f>HYPERLINK("http://images.bloomingdales.com/is/image/BLM/10568482 ")</f>
        <v xml:space="preserve">http://images.bloomingdales.com/is/image/BLM/10568482 </v>
      </c>
    </row>
    <row r="11" spans="1:15" ht="24.75" x14ac:dyDescent="0.25">
      <c r="A11" s="5" t="s">
        <v>562</v>
      </c>
      <c r="B11" s="2" t="s">
        <v>538</v>
      </c>
      <c r="C11" s="3">
        <v>1</v>
      </c>
      <c r="D11" s="6">
        <v>245</v>
      </c>
      <c r="E11" s="3">
        <v>8051275258704</v>
      </c>
      <c r="F11" s="2" t="s">
        <v>2793</v>
      </c>
      <c r="G11" s="7"/>
      <c r="H11" s="4">
        <v>29.7</v>
      </c>
      <c r="I11" s="4">
        <v>29.7</v>
      </c>
      <c r="J11" s="2" t="s">
        <v>539</v>
      </c>
      <c r="K11" s="2" t="s">
        <v>2359</v>
      </c>
      <c r="L11" s="2" t="s">
        <v>540</v>
      </c>
      <c r="M11" s="2" t="s">
        <v>541</v>
      </c>
      <c r="N11" s="2" t="s">
        <v>2397</v>
      </c>
      <c r="O11" s="8" t="str">
        <f>HYPERLINK("http://images.bloomingdales.com/is/image/BLM/9728719 ")</f>
        <v xml:space="preserve">http://images.bloomingdales.com/is/image/BLM/9728719 </v>
      </c>
    </row>
    <row r="12" spans="1:15" ht="24.75" x14ac:dyDescent="0.25">
      <c r="A12" s="5" t="s">
        <v>563</v>
      </c>
      <c r="B12" s="2" t="s">
        <v>564</v>
      </c>
      <c r="C12" s="3">
        <v>3</v>
      </c>
      <c r="D12" s="6">
        <v>229</v>
      </c>
      <c r="E12" s="3" t="s">
        <v>565</v>
      </c>
      <c r="F12" s="2" t="s">
        <v>2440</v>
      </c>
      <c r="G12" s="7"/>
      <c r="H12" s="4">
        <v>28.853999999999999</v>
      </c>
      <c r="I12" s="4">
        <v>86.561999999999998</v>
      </c>
      <c r="J12" s="2" t="s">
        <v>539</v>
      </c>
      <c r="K12" s="2" t="s">
        <v>1871</v>
      </c>
      <c r="L12" s="2" t="s">
        <v>560</v>
      </c>
      <c r="M12" s="2" t="s">
        <v>546</v>
      </c>
      <c r="N12" s="2" t="s">
        <v>566</v>
      </c>
      <c r="O12" s="8" t="str">
        <f>HYPERLINK("http://images.bloomingdales.com/is/image/BLM/10608041 ")</f>
        <v xml:space="preserve">http://images.bloomingdales.com/is/image/BLM/10608041 </v>
      </c>
    </row>
    <row r="13" spans="1:15" ht="24.75" x14ac:dyDescent="0.25">
      <c r="A13" s="5" t="s">
        <v>567</v>
      </c>
      <c r="B13" s="2" t="s">
        <v>568</v>
      </c>
      <c r="C13" s="3">
        <v>1</v>
      </c>
      <c r="D13" s="6">
        <v>180</v>
      </c>
      <c r="E13" s="3" t="s">
        <v>569</v>
      </c>
      <c r="F13" s="2" t="s">
        <v>2366</v>
      </c>
      <c r="G13" s="7"/>
      <c r="H13" s="4">
        <v>27</v>
      </c>
      <c r="I13" s="4">
        <v>27</v>
      </c>
      <c r="J13" s="2" t="s">
        <v>539</v>
      </c>
      <c r="K13" s="2" t="s">
        <v>2879</v>
      </c>
      <c r="L13" s="2" t="s">
        <v>2880</v>
      </c>
      <c r="M13" s="2" t="s">
        <v>2361</v>
      </c>
      <c r="N13" s="2" t="s">
        <v>2881</v>
      </c>
      <c r="O13" s="8" t="str">
        <f>HYPERLINK("http://slimages.macys.com/is/image/MCY/9262803 ")</f>
        <v xml:space="preserve">http://slimages.macys.com/is/image/MCY/9262803 </v>
      </c>
    </row>
    <row r="14" spans="1:15" ht="24.75" x14ac:dyDescent="0.25">
      <c r="A14" s="5" t="s">
        <v>570</v>
      </c>
      <c r="B14" s="2" t="s">
        <v>543</v>
      </c>
      <c r="C14" s="3">
        <v>2</v>
      </c>
      <c r="D14" s="6">
        <v>215</v>
      </c>
      <c r="E14" s="3">
        <v>5606454026808</v>
      </c>
      <c r="F14" s="2" t="s">
        <v>2394</v>
      </c>
      <c r="G14" s="7"/>
      <c r="H14" s="4">
        <v>26.4</v>
      </c>
      <c r="I14" s="4">
        <v>52.8</v>
      </c>
      <c r="J14" s="2" t="s">
        <v>539</v>
      </c>
      <c r="K14" s="2" t="s">
        <v>544</v>
      </c>
      <c r="L14" s="2" t="s">
        <v>545</v>
      </c>
      <c r="M14" s="2" t="s">
        <v>546</v>
      </c>
      <c r="N14" s="2" t="s">
        <v>547</v>
      </c>
      <c r="O14" s="8" t="str">
        <f>HYPERLINK("http://images.bloomingdales.com/is/image/BLM/10769894 ")</f>
        <v xml:space="preserve">http://images.bloomingdales.com/is/image/BLM/10769894 </v>
      </c>
    </row>
    <row r="15" spans="1:15" ht="24.75" x14ac:dyDescent="0.25">
      <c r="A15" s="5" t="s">
        <v>571</v>
      </c>
      <c r="B15" s="2" t="s">
        <v>558</v>
      </c>
      <c r="C15" s="3">
        <v>3</v>
      </c>
      <c r="D15" s="6">
        <v>209</v>
      </c>
      <c r="E15" s="3" t="s">
        <v>572</v>
      </c>
      <c r="F15" s="2" t="s">
        <v>2949</v>
      </c>
      <c r="G15" s="7"/>
      <c r="H15" s="4">
        <v>26.334</v>
      </c>
      <c r="I15" s="4">
        <v>79.001999999999995</v>
      </c>
      <c r="J15" s="2" t="s">
        <v>539</v>
      </c>
      <c r="K15" s="2" t="s">
        <v>1871</v>
      </c>
      <c r="L15" s="2" t="s">
        <v>560</v>
      </c>
      <c r="M15" s="2" t="s">
        <v>546</v>
      </c>
      <c r="N15" s="2" t="s">
        <v>561</v>
      </c>
      <c r="O15" s="8" t="str">
        <f>HYPERLINK("http://images.bloomingdales.com/is/image/BLM/10568483 ")</f>
        <v xml:space="preserve">http://images.bloomingdales.com/is/image/BLM/10568483 </v>
      </c>
    </row>
    <row r="16" spans="1:15" ht="24.75" x14ac:dyDescent="0.25">
      <c r="A16" s="5" t="s">
        <v>573</v>
      </c>
      <c r="B16" s="2" t="s">
        <v>574</v>
      </c>
      <c r="C16" s="3">
        <v>1</v>
      </c>
      <c r="D16" s="6">
        <v>200</v>
      </c>
      <c r="E16" s="3" t="s">
        <v>575</v>
      </c>
      <c r="F16" s="2" t="s">
        <v>3408</v>
      </c>
      <c r="G16" s="7"/>
      <c r="H16" s="4">
        <v>25.2</v>
      </c>
      <c r="I16" s="4">
        <v>25.2</v>
      </c>
      <c r="J16" s="2" t="s">
        <v>539</v>
      </c>
      <c r="K16" s="2" t="s">
        <v>1871</v>
      </c>
      <c r="L16" s="2" t="s">
        <v>560</v>
      </c>
      <c r="M16" s="2" t="s">
        <v>546</v>
      </c>
      <c r="N16" s="2" t="s">
        <v>2508</v>
      </c>
      <c r="O16" s="8" t="str">
        <f>HYPERLINK("http://images.bloomingdales.com/is/image/BLM/10568416 ")</f>
        <v xml:space="preserve">http://images.bloomingdales.com/is/image/BLM/10568416 </v>
      </c>
    </row>
    <row r="17" spans="1:15" ht="24.75" x14ac:dyDescent="0.25">
      <c r="A17" s="5" t="s">
        <v>576</v>
      </c>
      <c r="B17" s="2" t="s">
        <v>577</v>
      </c>
      <c r="C17" s="3">
        <v>2</v>
      </c>
      <c r="D17" s="6">
        <v>210</v>
      </c>
      <c r="E17" s="3">
        <v>5606454086741</v>
      </c>
      <c r="F17" s="2" t="s">
        <v>2374</v>
      </c>
      <c r="G17" s="7" t="s">
        <v>3421</v>
      </c>
      <c r="H17" s="4">
        <v>25.2</v>
      </c>
      <c r="I17" s="4">
        <v>50.4</v>
      </c>
      <c r="J17" s="2" t="s">
        <v>539</v>
      </c>
      <c r="K17" s="2" t="s">
        <v>544</v>
      </c>
      <c r="L17" s="2" t="s">
        <v>545</v>
      </c>
      <c r="M17" s="2" t="s">
        <v>546</v>
      </c>
      <c r="N17" s="2" t="s">
        <v>578</v>
      </c>
      <c r="O17" s="8" t="str">
        <f>HYPERLINK("http://images.bloomingdales.com/is/image/BLM/10754551 ")</f>
        <v xml:space="preserve">http://images.bloomingdales.com/is/image/BLM/10754551 </v>
      </c>
    </row>
    <row r="18" spans="1:15" ht="24.75" x14ac:dyDescent="0.25">
      <c r="A18" s="5" t="s">
        <v>579</v>
      </c>
      <c r="B18" s="2" t="s">
        <v>574</v>
      </c>
      <c r="C18" s="3">
        <v>1</v>
      </c>
      <c r="D18" s="6">
        <v>200</v>
      </c>
      <c r="E18" s="3" t="s">
        <v>580</v>
      </c>
      <c r="F18" s="2" t="s">
        <v>2440</v>
      </c>
      <c r="G18" s="7"/>
      <c r="H18" s="4">
        <v>25.2</v>
      </c>
      <c r="I18" s="4">
        <v>25.2</v>
      </c>
      <c r="J18" s="2" t="s">
        <v>539</v>
      </c>
      <c r="K18" s="2" t="s">
        <v>1871</v>
      </c>
      <c r="L18" s="2" t="s">
        <v>560</v>
      </c>
      <c r="M18" s="2" t="s">
        <v>546</v>
      </c>
      <c r="N18" s="2" t="s">
        <v>2508</v>
      </c>
      <c r="O18" s="8" t="str">
        <f>HYPERLINK("http://images.bloomingdales.com/is/image/BLM/10568416 ")</f>
        <v xml:space="preserve">http://images.bloomingdales.com/is/image/BLM/10568416 </v>
      </c>
    </row>
    <row r="19" spans="1:15" ht="24.75" x14ac:dyDescent="0.25">
      <c r="A19" s="5" t="s">
        <v>581</v>
      </c>
      <c r="B19" s="2" t="s">
        <v>564</v>
      </c>
      <c r="C19" s="3">
        <v>1</v>
      </c>
      <c r="D19" s="6">
        <v>199</v>
      </c>
      <c r="E19" s="3" t="s">
        <v>582</v>
      </c>
      <c r="F19" s="2" t="s">
        <v>2440</v>
      </c>
      <c r="G19" s="7"/>
      <c r="H19" s="4">
        <v>25.074000000000002</v>
      </c>
      <c r="I19" s="4">
        <v>25.074000000000002</v>
      </c>
      <c r="J19" s="2" t="s">
        <v>539</v>
      </c>
      <c r="K19" s="2" t="s">
        <v>1871</v>
      </c>
      <c r="L19" s="2" t="s">
        <v>560</v>
      </c>
      <c r="M19" s="2" t="s">
        <v>546</v>
      </c>
      <c r="N19" s="2" t="s">
        <v>566</v>
      </c>
      <c r="O19" s="8" t="str">
        <f>HYPERLINK("http://images.bloomingdales.com/is/image/BLM/10608041 ")</f>
        <v xml:space="preserve">http://images.bloomingdales.com/is/image/BLM/10608041 </v>
      </c>
    </row>
    <row r="20" spans="1:15" ht="24.75" x14ac:dyDescent="0.25">
      <c r="A20" s="5" t="s">
        <v>583</v>
      </c>
      <c r="B20" s="2" t="s">
        <v>538</v>
      </c>
      <c r="C20" s="3">
        <v>2</v>
      </c>
      <c r="D20" s="6">
        <v>199</v>
      </c>
      <c r="E20" s="3">
        <v>8051275258988</v>
      </c>
      <c r="F20" s="2" t="s">
        <v>2793</v>
      </c>
      <c r="G20" s="7"/>
      <c r="H20" s="4">
        <v>24.3</v>
      </c>
      <c r="I20" s="4">
        <v>48.6</v>
      </c>
      <c r="J20" s="2" t="s">
        <v>539</v>
      </c>
      <c r="K20" s="2" t="s">
        <v>2359</v>
      </c>
      <c r="L20" s="2" t="s">
        <v>540</v>
      </c>
      <c r="M20" s="2" t="s">
        <v>541</v>
      </c>
      <c r="N20" s="2" t="s">
        <v>2397</v>
      </c>
      <c r="O20" s="8" t="str">
        <f>HYPERLINK("http://images.bloomingdales.com/is/image/BLM/9728727 ")</f>
        <v xml:space="preserve">http://images.bloomingdales.com/is/image/BLM/9728727 </v>
      </c>
    </row>
    <row r="21" spans="1:15" ht="24.75" x14ac:dyDescent="0.25">
      <c r="A21" s="5" t="s">
        <v>584</v>
      </c>
      <c r="B21" s="2" t="s">
        <v>577</v>
      </c>
      <c r="C21" s="3">
        <v>3</v>
      </c>
      <c r="D21" s="6">
        <v>195</v>
      </c>
      <c r="E21" s="3">
        <v>5606454086727</v>
      </c>
      <c r="F21" s="2" t="s">
        <v>2374</v>
      </c>
      <c r="G21" s="7"/>
      <c r="H21" s="4">
        <v>23.4</v>
      </c>
      <c r="I21" s="4">
        <v>70.2</v>
      </c>
      <c r="J21" s="2" t="s">
        <v>539</v>
      </c>
      <c r="K21" s="2" t="s">
        <v>544</v>
      </c>
      <c r="L21" s="2" t="s">
        <v>545</v>
      </c>
      <c r="M21" s="2" t="s">
        <v>546</v>
      </c>
      <c r="N21" s="2" t="s">
        <v>578</v>
      </c>
      <c r="O21" s="8" t="str">
        <f>HYPERLINK("http://images.bloomingdales.com/is/image/BLM/10754550 ")</f>
        <v xml:space="preserve">http://images.bloomingdales.com/is/image/BLM/10754550 </v>
      </c>
    </row>
    <row r="22" spans="1:15" ht="24.75" x14ac:dyDescent="0.25">
      <c r="A22" s="5" t="s">
        <v>585</v>
      </c>
      <c r="B22" s="2" t="s">
        <v>586</v>
      </c>
      <c r="C22" s="3">
        <v>3</v>
      </c>
      <c r="D22" s="6">
        <v>175</v>
      </c>
      <c r="E22" s="3" t="s">
        <v>587</v>
      </c>
      <c r="F22" s="2" t="s">
        <v>2374</v>
      </c>
      <c r="G22" s="7"/>
      <c r="H22" s="4">
        <v>23.4</v>
      </c>
      <c r="I22" s="4">
        <v>70.2</v>
      </c>
      <c r="J22" s="2" t="s">
        <v>539</v>
      </c>
      <c r="K22" s="2" t="s">
        <v>2359</v>
      </c>
      <c r="L22" s="2" t="s">
        <v>588</v>
      </c>
      <c r="M22" s="2" t="s">
        <v>541</v>
      </c>
      <c r="N22" s="2" t="s">
        <v>589</v>
      </c>
      <c r="O22" s="8" t="str">
        <f>HYPERLINK("http://images.bloomingdales.com/is/image/BLM/9922148 ")</f>
        <v xml:space="preserve">http://images.bloomingdales.com/is/image/BLM/9922148 </v>
      </c>
    </row>
    <row r="23" spans="1:15" ht="24.75" x14ac:dyDescent="0.25">
      <c r="A23" s="5" t="s">
        <v>590</v>
      </c>
      <c r="B23" s="2" t="s">
        <v>591</v>
      </c>
      <c r="C23" s="3">
        <v>1</v>
      </c>
      <c r="D23" s="6">
        <v>175</v>
      </c>
      <c r="E23" s="3" t="s">
        <v>592</v>
      </c>
      <c r="F23" s="2" t="s">
        <v>2374</v>
      </c>
      <c r="G23" s="7" t="s">
        <v>2666</v>
      </c>
      <c r="H23" s="4">
        <v>23.4</v>
      </c>
      <c r="I23" s="4">
        <v>23.4</v>
      </c>
      <c r="J23" s="2" t="s">
        <v>539</v>
      </c>
      <c r="K23" s="2" t="s">
        <v>2359</v>
      </c>
      <c r="L23" s="2" t="s">
        <v>588</v>
      </c>
      <c r="M23" s="2" t="s">
        <v>541</v>
      </c>
      <c r="N23" s="2" t="s">
        <v>589</v>
      </c>
      <c r="O23" s="8" t="str">
        <f>HYPERLINK("http://images.bloomingdales.com/is/image/BLM/9922141 ")</f>
        <v xml:space="preserve">http://images.bloomingdales.com/is/image/BLM/9922141 </v>
      </c>
    </row>
    <row r="24" spans="1:15" ht="24.75" x14ac:dyDescent="0.25">
      <c r="A24" s="5" t="s">
        <v>593</v>
      </c>
      <c r="B24" s="2" t="s">
        <v>574</v>
      </c>
      <c r="C24" s="3">
        <v>1</v>
      </c>
      <c r="D24" s="6">
        <v>180</v>
      </c>
      <c r="E24" s="3" t="s">
        <v>594</v>
      </c>
      <c r="F24" s="2" t="s">
        <v>2440</v>
      </c>
      <c r="G24" s="7"/>
      <c r="H24" s="4">
        <v>22.68</v>
      </c>
      <c r="I24" s="4">
        <v>22.68</v>
      </c>
      <c r="J24" s="2" t="s">
        <v>539</v>
      </c>
      <c r="K24" s="2" t="s">
        <v>1871</v>
      </c>
      <c r="L24" s="2" t="s">
        <v>560</v>
      </c>
      <c r="M24" s="2" t="s">
        <v>546</v>
      </c>
      <c r="N24" s="2" t="s">
        <v>2508</v>
      </c>
      <c r="O24" s="8" t="str">
        <f>HYPERLINK("http://images.bloomingdales.com/is/image/BLM/10568416 ")</f>
        <v xml:space="preserve">http://images.bloomingdales.com/is/image/BLM/10568416 </v>
      </c>
    </row>
    <row r="25" spans="1:15" ht="24.75" x14ac:dyDescent="0.25">
      <c r="A25" s="5" t="s">
        <v>595</v>
      </c>
      <c r="B25" s="2" t="s">
        <v>574</v>
      </c>
      <c r="C25" s="3">
        <v>1</v>
      </c>
      <c r="D25" s="6">
        <v>180</v>
      </c>
      <c r="E25" s="3" t="s">
        <v>596</v>
      </c>
      <c r="F25" s="2" t="s">
        <v>3408</v>
      </c>
      <c r="G25" s="7"/>
      <c r="H25" s="4">
        <v>22.68</v>
      </c>
      <c r="I25" s="4">
        <v>22.68</v>
      </c>
      <c r="J25" s="2" t="s">
        <v>539</v>
      </c>
      <c r="K25" s="2" t="s">
        <v>1871</v>
      </c>
      <c r="L25" s="2" t="s">
        <v>560</v>
      </c>
      <c r="M25" s="2" t="s">
        <v>546</v>
      </c>
      <c r="N25" s="2" t="s">
        <v>2508</v>
      </c>
      <c r="O25" s="8" t="str">
        <f>HYPERLINK("http://images.bloomingdales.com/is/image/BLM/10568416 ")</f>
        <v xml:space="preserve">http://images.bloomingdales.com/is/image/BLM/10568416 </v>
      </c>
    </row>
    <row r="26" spans="1:15" ht="24.75" x14ac:dyDescent="0.25">
      <c r="A26" s="5" t="s">
        <v>597</v>
      </c>
      <c r="B26" s="2" t="s">
        <v>598</v>
      </c>
      <c r="C26" s="3">
        <v>1</v>
      </c>
      <c r="D26" s="6">
        <v>165</v>
      </c>
      <c r="E26" s="3" t="s">
        <v>599</v>
      </c>
      <c r="F26" s="2" t="s">
        <v>2374</v>
      </c>
      <c r="G26" s="7" t="s">
        <v>297</v>
      </c>
      <c r="H26" s="4">
        <v>22.2</v>
      </c>
      <c r="I26" s="4">
        <v>22.2</v>
      </c>
      <c r="J26" s="2" t="s">
        <v>539</v>
      </c>
      <c r="K26" s="2" t="s">
        <v>2359</v>
      </c>
      <c r="L26" s="2" t="s">
        <v>588</v>
      </c>
      <c r="M26" s="2" t="s">
        <v>541</v>
      </c>
      <c r="N26" s="2" t="s">
        <v>589</v>
      </c>
      <c r="O26" s="8" t="str">
        <f>HYPERLINK("http://images.bloomingdales.com/is/image/BLM/9922141 ")</f>
        <v xml:space="preserve">http://images.bloomingdales.com/is/image/BLM/9922141 </v>
      </c>
    </row>
    <row r="27" spans="1:15" ht="24.75" x14ac:dyDescent="0.25">
      <c r="A27" s="5" t="s">
        <v>600</v>
      </c>
      <c r="B27" s="2" t="s">
        <v>601</v>
      </c>
      <c r="C27" s="3">
        <v>1</v>
      </c>
      <c r="D27" s="6">
        <v>129.99</v>
      </c>
      <c r="E27" s="3" t="s">
        <v>602</v>
      </c>
      <c r="F27" s="2" t="s">
        <v>2440</v>
      </c>
      <c r="G27" s="7"/>
      <c r="H27" s="4">
        <v>19.5</v>
      </c>
      <c r="I27" s="4">
        <v>19.5</v>
      </c>
      <c r="J27" s="2" t="s">
        <v>539</v>
      </c>
      <c r="K27" s="2" t="s">
        <v>2879</v>
      </c>
      <c r="L27" s="2" t="s">
        <v>2880</v>
      </c>
      <c r="M27" s="2" t="s">
        <v>2361</v>
      </c>
      <c r="N27" s="2"/>
      <c r="O27" s="8" t="str">
        <f>HYPERLINK("http://slimages.macys.com/is/image/MCY/9843773 ")</f>
        <v xml:space="preserve">http://slimages.macys.com/is/image/MCY/9843773 </v>
      </c>
    </row>
    <row r="28" spans="1:15" ht="24.75" x14ac:dyDescent="0.25">
      <c r="A28" s="5" t="s">
        <v>603</v>
      </c>
      <c r="B28" s="2" t="s">
        <v>604</v>
      </c>
      <c r="C28" s="3">
        <v>1</v>
      </c>
      <c r="D28" s="6">
        <v>165</v>
      </c>
      <c r="E28" s="3" t="s">
        <v>605</v>
      </c>
      <c r="F28" s="2" t="s">
        <v>2849</v>
      </c>
      <c r="G28" s="7"/>
      <c r="H28" s="4">
        <v>18.600000000000001</v>
      </c>
      <c r="I28" s="4">
        <v>18.600000000000001</v>
      </c>
      <c r="J28" s="2" t="s">
        <v>539</v>
      </c>
      <c r="K28" s="2" t="s">
        <v>2359</v>
      </c>
      <c r="L28" s="2" t="s">
        <v>606</v>
      </c>
      <c r="M28" s="2" t="s">
        <v>2432</v>
      </c>
      <c r="N28" s="2" t="s">
        <v>607</v>
      </c>
      <c r="O28" s="8" t="str">
        <f>HYPERLINK("http://images.bloomingdales.com/is/image/BLM/9750209 ")</f>
        <v xml:space="preserve">http://images.bloomingdales.com/is/image/BLM/9750209 </v>
      </c>
    </row>
    <row r="29" spans="1:15" ht="144.75" x14ac:dyDescent="0.25">
      <c r="A29" s="5" t="s">
        <v>608</v>
      </c>
      <c r="B29" s="2" t="s">
        <v>609</v>
      </c>
      <c r="C29" s="3">
        <v>1</v>
      </c>
      <c r="D29" s="6">
        <v>139.99</v>
      </c>
      <c r="E29" s="3" t="s">
        <v>610</v>
      </c>
      <c r="F29" s="2" t="s">
        <v>2394</v>
      </c>
      <c r="G29" s="7"/>
      <c r="H29" s="4">
        <v>18.225000000000001</v>
      </c>
      <c r="I29" s="4">
        <v>18.225000000000001</v>
      </c>
      <c r="J29" s="2" t="s">
        <v>2343</v>
      </c>
      <c r="K29" s="2" t="s">
        <v>2359</v>
      </c>
      <c r="L29" s="2" t="s">
        <v>2406</v>
      </c>
      <c r="M29" s="2" t="s">
        <v>2361</v>
      </c>
      <c r="N29" s="2" t="s">
        <v>1609</v>
      </c>
      <c r="O29" s="8" t="str">
        <f>HYPERLINK("http://slimages.macys.com/is/image/MCY/8936712 ")</f>
        <v xml:space="preserve">http://slimages.macys.com/is/image/MCY/8936712 </v>
      </c>
    </row>
    <row r="30" spans="1:15" ht="120.75" x14ac:dyDescent="0.25">
      <c r="A30" s="5" t="s">
        <v>611</v>
      </c>
      <c r="B30" s="2" t="s">
        <v>612</v>
      </c>
      <c r="C30" s="3">
        <v>2</v>
      </c>
      <c r="D30" s="6">
        <v>129</v>
      </c>
      <c r="E30" s="3" t="s">
        <v>613</v>
      </c>
      <c r="F30" s="2" t="s">
        <v>2512</v>
      </c>
      <c r="G30" s="7"/>
      <c r="H30" s="4">
        <v>16.254000000000001</v>
      </c>
      <c r="I30" s="4">
        <v>32.508000000000003</v>
      </c>
      <c r="J30" s="2" t="s">
        <v>539</v>
      </c>
      <c r="K30" s="2" t="s">
        <v>1871</v>
      </c>
      <c r="L30" s="2" t="s">
        <v>560</v>
      </c>
      <c r="M30" s="2" t="s">
        <v>2432</v>
      </c>
      <c r="N30" s="2" t="s">
        <v>614</v>
      </c>
      <c r="O30" s="8" t="str">
        <f>HYPERLINK("http://images.bloomingdales.com/is/image/BLM/10568101 ")</f>
        <v xml:space="preserve">http://images.bloomingdales.com/is/image/BLM/10568101 </v>
      </c>
    </row>
    <row r="31" spans="1:15" ht="24.75" x14ac:dyDescent="0.25">
      <c r="A31" s="5" t="s">
        <v>615</v>
      </c>
      <c r="B31" s="2" t="s">
        <v>616</v>
      </c>
      <c r="C31" s="3">
        <v>1</v>
      </c>
      <c r="D31" s="6">
        <v>94.99</v>
      </c>
      <c r="E31" s="3" t="s">
        <v>617</v>
      </c>
      <c r="F31" s="2" t="s">
        <v>2374</v>
      </c>
      <c r="G31" s="7"/>
      <c r="H31" s="4">
        <v>13.3</v>
      </c>
      <c r="I31" s="4">
        <v>13.3</v>
      </c>
      <c r="J31" s="2" t="s">
        <v>2343</v>
      </c>
      <c r="K31" s="2" t="s">
        <v>2412</v>
      </c>
      <c r="L31" s="2" t="s">
        <v>2788</v>
      </c>
      <c r="M31" s="2" t="s">
        <v>2361</v>
      </c>
      <c r="N31" s="2" t="s">
        <v>618</v>
      </c>
      <c r="O31" s="8" t="str">
        <f>HYPERLINK("http://slimages.macys.com/is/image/MCY/11798820 ")</f>
        <v xml:space="preserve">http://slimages.macys.com/is/image/MCY/11798820 </v>
      </c>
    </row>
    <row r="32" spans="1:15" ht="36.75" x14ac:dyDescent="0.25">
      <c r="A32" s="5" t="s">
        <v>619</v>
      </c>
      <c r="B32" s="2" t="s">
        <v>558</v>
      </c>
      <c r="C32" s="3">
        <v>4</v>
      </c>
      <c r="D32" s="6">
        <v>95</v>
      </c>
      <c r="E32" s="3" t="s">
        <v>620</v>
      </c>
      <c r="F32" s="2" t="s">
        <v>2949</v>
      </c>
      <c r="G32" s="7"/>
      <c r="H32" s="4">
        <v>11.97</v>
      </c>
      <c r="I32" s="4">
        <v>47.88</v>
      </c>
      <c r="J32" s="2" t="s">
        <v>539</v>
      </c>
      <c r="K32" s="2" t="s">
        <v>1871</v>
      </c>
      <c r="L32" s="2" t="s">
        <v>560</v>
      </c>
      <c r="M32" s="2" t="s">
        <v>546</v>
      </c>
      <c r="N32" s="2" t="s">
        <v>621</v>
      </c>
      <c r="O32" s="8" t="str">
        <f>HYPERLINK("http://images.bloomingdales.com/is/image/BLM/10568451 ")</f>
        <v xml:space="preserve">http://images.bloomingdales.com/is/image/BLM/10568451 </v>
      </c>
    </row>
    <row r="33" spans="1:15" ht="24.75" x14ac:dyDescent="0.25">
      <c r="A33" s="5" t="s">
        <v>622</v>
      </c>
      <c r="B33" s="2" t="s">
        <v>623</v>
      </c>
      <c r="C33" s="3">
        <v>1</v>
      </c>
      <c r="D33" s="6">
        <v>59</v>
      </c>
      <c r="E33" s="3" t="s">
        <v>624</v>
      </c>
      <c r="F33" s="2" t="s">
        <v>2358</v>
      </c>
      <c r="G33" s="7"/>
      <c r="H33" s="4">
        <v>11.396000000000001</v>
      </c>
      <c r="I33" s="4">
        <v>11.396000000000001</v>
      </c>
      <c r="J33" s="2" t="s">
        <v>539</v>
      </c>
      <c r="K33" s="2" t="s">
        <v>2446</v>
      </c>
      <c r="L33" s="2" t="s">
        <v>560</v>
      </c>
      <c r="M33" s="2" t="s">
        <v>546</v>
      </c>
      <c r="N33" s="2" t="s">
        <v>625</v>
      </c>
      <c r="O33" s="8" t="str">
        <f>HYPERLINK("http://images.bloomingdales.com/is/image/BLM/10555512 ")</f>
        <v xml:space="preserve">http://images.bloomingdales.com/is/image/BLM/10555512 </v>
      </c>
    </row>
    <row r="34" spans="1:15" ht="24.75" x14ac:dyDescent="0.25">
      <c r="A34" s="5" t="s">
        <v>626</v>
      </c>
      <c r="B34" s="2" t="s">
        <v>627</v>
      </c>
      <c r="C34" s="3">
        <v>3</v>
      </c>
      <c r="D34" s="6">
        <v>59</v>
      </c>
      <c r="E34" s="3" t="s">
        <v>628</v>
      </c>
      <c r="F34" s="2" t="s">
        <v>2374</v>
      </c>
      <c r="G34" s="7"/>
      <c r="H34" s="4">
        <v>11.396000000000001</v>
      </c>
      <c r="I34" s="4">
        <v>34.188000000000002</v>
      </c>
      <c r="J34" s="2" t="s">
        <v>539</v>
      </c>
      <c r="K34" s="2" t="s">
        <v>2446</v>
      </c>
      <c r="L34" s="2" t="s">
        <v>560</v>
      </c>
      <c r="M34" s="2" t="s">
        <v>546</v>
      </c>
      <c r="N34" s="2" t="s">
        <v>625</v>
      </c>
      <c r="O34" s="8" t="str">
        <f>HYPERLINK("http://images.bloomingdales.com/is/image/BLM/10555512 ")</f>
        <v xml:space="preserve">http://images.bloomingdales.com/is/image/BLM/10555512 </v>
      </c>
    </row>
    <row r="35" spans="1:15" ht="24.75" x14ac:dyDescent="0.25">
      <c r="A35" s="5" t="s">
        <v>629</v>
      </c>
      <c r="B35" s="2" t="s">
        <v>564</v>
      </c>
      <c r="C35" s="3">
        <v>1</v>
      </c>
      <c r="D35" s="6">
        <v>90</v>
      </c>
      <c r="E35" s="3" t="s">
        <v>630</v>
      </c>
      <c r="F35" s="2" t="s">
        <v>2374</v>
      </c>
      <c r="G35" s="7"/>
      <c r="H35" s="4">
        <v>11.34</v>
      </c>
      <c r="I35" s="4">
        <v>11.34</v>
      </c>
      <c r="J35" s="2" t="s">
        <v>539</v>
      </c>
      <c r="K35" s="2" t="s">
        <v>1871</v>
      </c>
      <c r="L35" s="2" t="s">
        <v>560</v>
      </c>
      <c r="M35" s="2" t="s">
        <v>546</v>
      </c>
      <c r="N35" s="2" t="s">
        <v>566</v>
      </c>
      <c r="O35" s="8" t="str">
        <f>HYPERLINK("http://images.bloomingdales.com/is/image/BLM/10608195 ")</f>
        <v xml:space="preserve">http://images.bloomingdales.com/is/image/BLM/10608195 </v>
      </c>
    </row>
    <row r="36" spans="1:15" ht="24.75" x14ac:dyDescent="0.25">
      <c r="A36" s="5" t="s">
        <v>631</v>
      </c>
      <c r="B36" s="2" t="s">
        <v>564</v>
      </c>
      <c r="C36" s="3">
        <v>1</v>
      </c>
      <c r="D36" s="6">
        <v>90</v>
      </c>
      <c r="E36" s="3" t="s">
        <v>632</v>
      </c>
      <c r="F36" s="2" t="s">
        <v>2358</v>
      </c>
      <c r="G36" s="7"/>
      <c r="H36" s="4">
        <v>11.34</v>
      </c>
      <c r="I36" s="4">
        <v>11.34</v>
      </c>
      <c r="J36" s="2" t="s">
        <v>539</v>
      </c>
      <c r="K36" s="2" t="s">
        <v>1871</v>
      </c>
      <c r="L36" s="2" t="s">
        <v>560</v>
      </c>
      <c r="M36" s="2" t="s">
        <v>546</v>
      </c>
      <c r="N36" s="2" t="s">
        <v>566</v>
      </c>
      <c r="O36" s="8" t="str">
        <f>HYPERLINK("http://images.bloomingdales.com/is/image/BLM/10608195 ")</f>
        <v xml:space="preserve">http://images.bloomingdales.com/is/image/BLM/10608195 </v>
      </c>
    </row>
    <row r="37" spans="1:15" ht="24.75" x14ac:dyDescent="0.25">
      <c r="A37" s="5" t="s">
        <v>633</v>
      </c>
      <c r="B37" s="2" t="s">
        <v>634</v>
      </c>
      <c r="C37" s="3">
        <v>1</v>
      </c>
      <c r="D37" s="6">
        <v>118.99</v>
      </c>
      <c r="E37" s="3" t="s">
        <v>635</v>
      </c>
      <c r="F37" s="2" t="s">
        <v>2374</v>
      </c>
      <c r="G37" s="7"/>
      <c r="H37" s="4">
        <v>10.977</v>
      </c>
      <c r="I37" s="4">
        <v>10.977</v>
      </c>
      <c r="J37" s="2" t="s">
        <v>2343</v>
      </c>
      <c r="K37" s="2" t="s">
        <v>2359</v>
      </c>
      <c r="L37" s="2" t="s">
        <v>2803</v>
      </c>
      <c r="M37" s="2" t="s">
        <v>2361</v>
      </c>
      <c r="N37" s="2" t="s">
        <v>2656</v>
      </c>
      <c r="O37" s="8" t="str">
        <f>HYPERLINK("http://slimages.macys.com/is/image/MCY/11436765 ")</f>
        <v xml:space="preserve">http://slimages.macys.com/is/image/MCY/11436765 </v>
      </c>
    </row>
    <row r="38" spans="1:15" ht="36.75" x14ac:dyDescent="0.25">
      <c r="A38" s="5" t="s">
        <v>636</v>
      </c>
      <c r="B38" s="2" t="s">
        <v>558</v>
      </c>
      <c r="C38" s="3">
        <v>1</v>
      </c>
      <c r="D38" s="6">
        <v>85</v>
      </c>
      <c r="E38" s="3" t="s">
        <v>637</v>
      </c>
      <c r="F38" s="2" t="s">
        <v>2440</v>
      </c>
      <c r="G38" s="7"/>
      <c r="H38" s="4">
        <v>10.71</v>
      </c>
      <c r="I38" s="4">
        <v>10.71</v>
      </c>
      <c r="J38" s="2" t="s">
        <v>539</v>
      </c>
      <c r="K38" s="2" t="s">
        <v>1871</v>
      </c>
      <c r="L38" s="2" t="s">
        <v>560</v>
      </c>
      <c r="M38" s="2" t="s">
        <v>546</v>
      </c>
      <c r="N38" s="2" t="s">
        <v>638</v>
      </c>
      <c r="O38" s="8" t="str">
        <f>HYPERLINK("http://images.bloomingdales.com/is/image/BLM/10568449 ")</f>
        <v xml:space="preserve">http://images.bloomingdales.com/is/image/BLM/10568449 </v>
      </c>
    </row>
    <row r="39" spans="1:15" ht="96.75" x14ac:dyDescent="0.25">
      <c r="A39" s="5" t="s">
        <v>639</v>
      </c>
      <c r="B39" s="2" t="s">
        <v>640</v>
      </c>
      <c r="C39" s="3">
        <v>1</v>
      </c>
      <c r="D39" s="6">
        <v>89.99</v>
      </c>
      <c r="E39" s="3" t="s">
        <v>641</v>
      </c>
      <c r="F39" s="2" t="s">
        <v>2927</v>
      </c>
      <c r="G39" s="7"/>
      <c r="H39" s="4">
        <v>10.446</v>
      </c>
      <c r="I39" s="4">
        <v>10.446</v>
      </c>
      <c r="J39" s="2" t="s">
        <v>2343</v>
      </c>
      <c r="K39" s="2" t="s">
        <v>2473</v>
      </c>
      <c r="L39" s="2" t="s">
        <v>2406</v>
      </c>
      <c r="M39" s="2" t="s">
        <v>2361</v>
      </c>
      <c r="N39" s="2" t="s">
        <v>2056</v>
      </c>
      <c r="O39" s="8" t="str">
        <f>HYPERLINK("http://slimages.macys.com/is/image/MCY/16528887 ")</f>
        <v xml:space="preserve">http://slimages.macys.com/is/image/MCY/16528887 </v>
      </c>
    </row>
    <row r="40" spans="1:15" ht="24.75" x14ac:dyDescent="0.25">
      <c r="A40" s="5" t="s">
        <v>642</v>
      </c>
      <c r="B40" s="2" t="s">
        <v>643</v>
      </c>
      <c r="C40" s="3">
        <v>1</v>
      </c>
      <c r="D40" s="6">
        <v>79.989999999999995</v>
      </c>
      <c r="E40" s="3">
        <v>1256</v>
      </c>
      <c r="F40" s="2" t="s">
        <v>2418</v>
      </c>
      <c r="G40" s="7"/>
      <c r="H40" s="4">
        <v>10.23</v>
      </c>
      <c r="I40" s="4">
        <v>10.23</v>
      </c>
      <c r="J40" s="2" t="s">
        <v>539</v>
      </c>
      <c r="K40" s="2" t="s">
        <v>2537</v>
      </c>
      <c r="L40" s="2" t="s">
        <v>644</v>
      </c>
      <c r="M40" s="2" t="s">
        <v>2432</v>
      </c>
      <c r="N40" s="2" t="s">
        <v>645</v>
      </c>
      <c r="O40" s="8" t="str">
        <f>HYPERLINK("http://images.bloomingdales.com/is/image/BLM/10252662 ")</f>
        <v xml:space="preserve">http://images.bloomingdales.com/is/image/BLM/10252662 </v>
      </c>
    </row>
    <row r="41" spans="1:15" ht="24.75" x14ac:dyDescent="0.25">
      <c r="A41" s="5" t="s">
        <v>646</v>
      </c>
      <c r="B41" s="2" t="s">
        <v>643</v>
      </c>
      <c r="C41" s="3">
        <v>1</v>
      </c>
      <c r="D41" s="6">
        <v>79.989999999999995</v>
      </c>
      <c r="E41" s="3">
        <v>1249</v>
      </c>
      <c r="F41" s="2" t="s">
        <v>2374</v>
      </c>
      <c r="G41" s="7"/>
      <c r="H41" s="4">
        <v>10.23</v>
      </c>
      <c r="I41" s="4">
        <v>10.23</v>
      </c>
      <c r="J41" s="2" t="s">
        <v>539</v>
      </c>
      <c r="K41" s="2" t="s">
        <v>2537</v>
      </c>
      <c r="L41" s="2" t="s">
        <v>644</v>
      </c>
      <c r="M41" s="2" t="s">
        <v>2432</v>
      </c>
      <c r="N41" s="2" t="s">
        <v>645</v>
      </c>
      <c r="O41" s="8" t="str">
        <f>HYPERLINK("http://images.bloomingdales.com/is/image/BLM/10252662 ")</f>
        <v xml:space="preserve">http://images.bloomingdales.com/is/image/BLM/10252662 </v>
      </c>
    </row>
    <row r="42" spans="1:15" ht="24.75" x14ac:dyDescent="0.25">
      <c r="A42" s="5" t="s">
        <v>647</v>
      </c>
      <c r="B42" s="2" t="s">
        <v>648</v>
      </c>
      <c r="C42" s="3">
        <v>1</v>
      </c>
      <c r="D42" s="6">
        <v>79.989999999999995</v>
      </c>
      <c r="E42" s="3">
        <v>1270</v>
      </c>
      <c r="F42" s="2" t="s">
        <v>2512</v>
      </c>
      <c r="G42" s="7"/>
      <c r="H42" s="4">
        <v>10.23</v>
      </c>
      <c r="I42" s="4">
        <v>10.23</v>
      </c>
      <c r="J42" s="2" t="s">
        <v>539</v>
      </c>
      <c r="K42" s="2" t="s">
        <v>2537</v>
      </c>
      <c r="L42" s="2" t="s">
        <v>644</v>
      </c>
      <c r="M42" s="2" t="s">
        <v>2432</v>
      </c>
      <c r="N42" s="2" t="s">
        <v>645</v>
      </c>
      <c r="O42" s="8" t="str">
        <f>HYPERLINK("http://images.bloomingdales.com/is/image/BLM/10252662 ")</f>
        <v xml:space="preserve">http://images.bloomingdales.com/is/image/BLM/10252662 </v>
      </c>
    </row>
    <row r="43" spans="1:15" ht="36.75" x14ac:dyDescent="0.25">
      <c r="A43" s="5" t="s">
        <v>649</v>
      </c>
      <c r="B43" s="2" t="s">
        <v>650</v>
      </c>
      <c r="C43" s="3">
        <v>1</v>
      </c>
      <c r="D43" s="6">
        <v>74.989999999999995</v>
      </c>
      <c r="E43" s="3" t="s">
        <v>651</v>
      </c>
      <c r="F43" s="2" t="s">
        <v>2374</v>
      </c>
      <c r="G43" s="7"/>
      <c r="H43" s="4">
        <v>9.1110000000000007</v>
      </c>
      <c r="I43" s="4">
        <v>9.1110000000000007</v>
      </c>
      <c r="J43" s="2" t="s">
        <v>2343</v>
      </c>
      <c r="K43" s="2" t="s">
        <v>2359</v>
      </c>
      <c r="L43" s="2" t="s">
        <v>2406</v>
      </c>
      <c r="M43" s="2" t="s">
        <v>2361</v>
      </c>
      <c r="N43" s="2" t="s">
        <v>2623</v>
      </c>
      <c r="O43" s="8" t="str">
        <f>HYPERLINK("http://slimages.macys.com/is/image/MCY/9798713 ")</f>
        <v xml:space="preserve">http://slimages.macys.com/is/image/MCY/9798713 </v>
      </c>
    </row>
    <row r="44" spans="1:15" ht="36.75" x14ac:dyDescent="0.25">
      <c r="A44" s="5" t="s">
        <v>652</v>
      </c>
      <c r="B44" s="2" t="s">
        <v>653</v>
      </c>
      <c r="C44" s="3">
        <v>1</v>
      </c>
      <c r="D44" s="6">
        <v>59.99</v>
      </c>
      <c r="E44" s="3" t="s">
        <v>654</v>
      </c>
      <c r="F44" s="2" t="s">
        <v>2597</v>
      </c>
      <c r="G44" s="7" t="s">
        <v>259</v>
      </c>
      <c r="H44" s="4">
        <v>9</v>
      </c>
      <c r="I44" s="4">
        <v>9</v>
      </c>
      <c r="J44" s="2" t="s">
        <v>539</v>
      </c>
      <c r="K44" s="2" t="s">
        <v>2879</v>
      </c>
      <c r="L44" s="2" t="s">
        <v>2880</v>
      </c>
      <c r="M44" s="2" t="s">
        <v>2361</v>
      </c>
      <c r="N44" s="2" t="s">
        <v>655</v>
      </c>
      <c r="O44" s="8" t="str">
        <f>HYPERLINK("http://slimages.macys.com/is/image/MCY/8289253 ")</f>
        <v xml:space="preserve">http://slimages.macys.com/is/image/MCY/8289253 </v>
      </c>
    </row>
    <row r="45" spans="1:15" ht="36.75" x14ac:dyDescent="0.25">
      <c r="A45" s="5" t="s">
        <v>656</v>
      </c>
      <c r="B45" s="2" t="s">
        <v>657</v>
      </c>
      <c r="C45" s="3">
        <v>2</v>
      </c>
      <c r="D45" s="6">
        <v>70</v>
      </c>
      <c r="E45" s="3" t="s">
        <v>658</v>
      </c>
      <c r="F45" s="2"/>
      <c r="G45" s="7" t="s">
        <v>3357</v>
      </c>
      <c r="H45" s="4">
        <v>8.82</v>
      </c>
      <c r="I45" s="4">
        <v>17.64</v>
      </c>
      <c r="J45" s="2" t="s">
        <v>539</v>
      </c>
      <c r="K45" s="2" t="s">
        <v>1871</v>
      </c>
      <c r="L45" s="2" t="s">
        <v>560</v>
      </c>
      <c r="M45" s="2" t="s">
        <v>546</v>
      </c>
      <c r="N45" s="2" t="s">
        <v>659</v>
      </c>
      <c r="O45" s="8" t="str">
        <f>HYPERLINK("http://images.bloomingdales.com/is/image/BLM/10569681 ")</f>
        <v xml:space="preserve">http://images.bloomingdales.com/is/image/BLM/10569681 </v>
      </c>
    </row>
    <row r="46" spans="1:15" ht="24.75" x14ac:dyDescent="0.25">
      <c r="A46" s="5" t="s">
        <v>660</v>
      </c>
      <c r="B46" s="2" t="s">
        <v>661</v>
      </c>
      <c r="C46" s="3">
        <v>1</v>
      </c>
      <c r="D46" s="6">
        <v>59.99</v>
      </c>
      <c r="E46" s="3" t="s">
        <v>662</v>
      </c>
      <c r="F46" s="2" t="s">
        <v>2374</v>
      </c>
      <c r="G46" s="7" t="s">
        <v>1438</v>
      </c>
      <c r="H46" s="4">
        <v>8.64</v>
      </c>
      <c r="I46" s="4">
        <v>8.64</v>
      </c>
      <c r="J46" s="2" t="s">
        <v>539</v>
      </c>
      <c r="K46" s="2" t="s">
        <v>2879</v>
      </c>
      <c r="L46" s="2" t="s">
        <v>2880</v>
      </c>
      <c r="M46" s="2" t="s">
        <v>2361</v>
      </c>
      <c r="N46" s="2"/>
      <c r="O46" s="8" t="str">
        <f>HYPERLINK("http://slimages.macys.com/is/image/MCY/9965671 ")</f>
        <v xml:space="preserve">http://slimages.macys.com/is/image/MCY/9965671 </v>
      </c>
    </row>
    <row r="47" spans="1:15" ht="24.75" x14ac:dyDescent="0.25">
      <c r="A47" s="5" t="s">
        <v>663</v>
      </c>
      <c r="B47" s="2" t="s">
        <v>664</v>
      </c>
      <c r="C47" s="3">
        <v>1</v>
      </c>
      <c r="D47" s="6">
        <v>59.99</v>
      </c>
      <c r="E47" s="3" t="s">
        <v>665</v>
      </c>
      <c r="F47" s="2" t="s">
        <v>2381</v>
      </c>
      <c r="G47" s="7" t="s">
        <v>1438</v>
      </c>
      <c r="H47" s="4">
        <v>8.64</v>
      </c>
      <c r="I47" s="4">
        <v>8.64</v>
      </c>
      <c r="J47" s="2" t="s">
        <v>539</v>
      </c>
      <c r="K47" s="2" t="s">
        <v>2879</v>
      </c>
      <c r="L47" s="2" t="s">
        <v>2880</v>
      </c>
      <c r="M47" s="2" t="s">
        <v>2361</v>
      </c>
      <c r="N47" s="2" t="s">
        <v>589</v>
      </c>
      <c r="O47" s="8" t="str">
        <f>HYPERLINK("http://images.bloomingdales.com/is/image/BLM/9565824 ")</f>
        <v xml:space="preserve">http://images.bloomingdales.com/is/image/BLM/9565824 </v>
      </c>
    </row>
    <row r="48" spans="1:15" ht="24.75" x14ac:dyDescent="0.25">
      <c r="A48" s="5" t="s">
        <v>666</v>
      </c>
      <c r="B48" s="2" t="s">
        <v>643</v>
      </c>
      <c r="C48" s="3">
        <v>5</v>
      </c>
      <c r="D48" s="6">
        <v>79.989999999999995</v>
      </c>
      <c r="E48" s="3">
        <v>1201</v>
      </c>
      <c r="F48" s="2" t="s">
        <v>2374</v>
      </c>
      <c r="G48" s="7"/>
      <c r="H48" s="4">
        <v>8.4149999999999991</v>
      </c>
      <c r="I48" s="4">
        <v>42.075000000000003</v>
      </c>
      <c r="J48" s="2" t="s">
        <v>539</v>
      </c>
      <c r="K48" s="2" t="s">
        <v>2537</v>
      </c>
      <c r="L48" s="2" t="s">
        <v>644</v>
      </c>
      <c r="M48" s="2" t="s">
        <v>2432</v>
      </c>
      <c r="N48" s="2" t="s">
        <v>645</v>
      </c>
      <c r="O48" s="8" t="str">
        <f>HYPERLINK("http://images.bloomingdales.com/is/image/BLM/10252662 ")</f>
        <v xml:space="preserve">http://images.bloomingdales.com/is/image/BLM/10252662 </v>
      </c>
    </row>
    <row r="49" spans="1:15" ht="60.75" x14ac:dyDescent="0.25">
      <c r="A49" s="5" t="s">
        <v>667</v>
      </c>
      <c r="B49" s="2" t="s">
        <v>668</v>
      </c>
      <c r="C49" s="3">
        <v>1</v>
      </c>
      <c r="D49" s="6">
        <v>96.99</v>
      </c>
      <c r="E49" s="3" t="s">
        <v>669</v>
      </c>
      <c r="F49" s="2" t="s">
        <v>2381</v>
      </c>
      <c r="G49" s="7"/>
      <c r="H49" s="4">
        <v>8.0340000000000007</v>
      </c>
      <c r="I49" s="4">
        <v>8.0340000000000007</v>
      </c>
      <c r="J49" s="2" t="s">
        <v>2343</v>
      </c>
      <c r="K49" s="2" t="s">
        <v>2359</v>
      </c>
      <c r="L49" s="2" t="s">
        <v>2406</v>
      </c>
      <c r="M49" s="2" t="s">
        <v>2361</v>
      </c>
      <c r="N49" s="2" t="s">
        <v>670</v>
      </c>
      <c r="O49" s="8" t="str">
        <f>HYPERLINK("http://slimages.macys.com/is/image/MCY/12932337 ")</f>
        <v xml:space="preserve">http://slimages.macys.com/is/image/MCY/12932337 </v>
      </c>
    </row>
    <row r="50" spans="1:15" ht="24.75" x14ac:dyDescent="0.25">
      <c r="A50" s="5" t="s">
        <v>671</v>
      </c>
      <c r="B50" s="2" t="s">
        <v>672</v>
      </c>
      <c r="C50" s="3">
        <v>1</v>
      </c>
      <c r="D50" s="6">
        <v>45</v>
      </c>
      <c r="E50" s="3" t="s">
        <v>673</v>
      </c>
      <c r="F50" s="2" t="s">
        <v>3038</v>
      </c>
      <c r="G50" s="7" t="s">
        <v>2531</v>
      </c>
      <c r="H50" s="4">
        <v>7.5664999999999996</v>
      </c>
      <c r="I50" s="4">
        <v>7.5664999999999996</v>
      </c>
      <c r="J50" s="2" t="s">
        <v>539</v>
      </c>
      <c r="K50" s="2" t="s">
        <v>2446</v>
      </c>
      <c r="L50" s="2" t="s">
        <v>560</v>
      </c>
      <c r="M50" s="2" t="s">
        <v>546</v>
      </c>
      <c r="N50" s="2" t="s">
        <v>625</v>
      </c>
      <c r="O50" s="8" t="str">
        <f>HYPERLINK("http://images.bloomingdales.com/is/image/BLM/10555507 ")</f>
        <v xml:space="preserve">http://images.bloomingdales.com/is/image/BLM/10555507 </v>
      </c>
    </row>
    <row r="51" spans="1:15" ht="24.75" x14ac:dyDescent="0.25">
      <c r="A51" s="5" t="s">
        <v>674</v>
      </c>
      <c r="B51" s="2" t="s">
        <v>675</v>
      </c>
      <c r="C51" s="3">
        <v>4</v>
      </c>
      <c r="D51" s="6">
        <v>45</v>
      </c>
      <c r="E51" s="3" t="s">
        <v>676</v>
      </c>
      <c r="F51" s="2" t="s">
        <v>2374</v>
      </c>
      <c r="G51" s="7" t="s">
        <v>2531</v>
      </c>
      <c r="H51" s="4">
        <v>7.5664999999999996</v>
      </c>
      <c r="I51" s="4">
        <v>30.265999999999998</v>
      </c>
      <c r="J51" s="2" t="s">
        <v>539</v>
      </c>
      <c r="K51" s="2" t="s">
        <v>2446</v>
      </c>
      <c r="L51" s="2" t="s">
        <v>560</v>
      </c>
      <c r="M51" s="2" t="s">
        <v>546</v>
      </c>
      <c r="N51" s="2" t="s">
        <v>625</v>
      </c>
      <c r="O51" s="8" t="str">
        <f>HYPERLINK("http://images.bloomingdales.com/is/image/BLM/10555507 ")</f>
        <v xml:space="preserve">http://images.bloomingdales.com/is/image/BLM/10555507 </v>
      </c>
    </row>
    <row r="52" spans="1:15" ht="24.75" x14ac:dyDescent="0.25">
      <c r="A52" s="5" t="s">
        <v>677</v>
      </c>
      <c r="B52" s="2" t="s">
        <v>678</v>
      </c>
      <c r="C52" s="3">
        <v>3</v>
      </c>
      <c r="D52" s="6">
        <v>45</v>
      </c>
      <c r="E52" s="3" t="s">
        <v>679</v>
      </c>
      <c r="F52" s="2" t="s">
        <v>2358</v>
      </c>
      <c r="G52" s="7" t="s">
        <v>2531</v>
      </c>
      <c r="H52" s="4">
        <v>7.5664999999999996</v>
      </c>
      <c r="I52" s="4">
        <v>22.6995</v>
      </c>
      <c r="J52" s="2" t="s">
        <v>539</v>
      </c>
      <c r="K52" s="2" t="s">
        <v>2446</v>
      </c>
      <c r="L52" s="2" t="s">
        <v>560</v>
      </c>
      <c r="M52" s="2" t="s">
        <v>546</v>
      </c>
      <c r="N52" s="2" t="s">
        <v>625</v>
      </c>
      <c r="O52" s="8" t="str">
        <f>HYPERLINK("http://images.bloomingdales.com/is/image/BLM/10555507 ")</f>
        <v xml:space="preserve">http://images.bloomingdales.com/is/image/BLM/10555507 </v>
      </c>
    </row>
    <row r="53" spans="1:15" ht="24.75" x14ac:dyDescent="0.25">
      <c r="A53" s="5" t="s">
        <v>680</v>
      </c>
      <c r="B53" s="2" t="s">
        <v>681</v>
      </c>
      <c r="C53" s="3">
        <v>5</v>
      </c>
      <c r="D53" s="6">
        <v>45</v>
      </c>
      <c r="E53" s="3" t="s">
        <v>682</v>
      </c>
      <c r="F53" s="2" t="s">
        <v>3408</v>
      </c>
      <c r="G53" s="7" t="s">
        <v>2531</v>
      </c>
      <c r="H53" s="4">
        <v>7.5664999999999996</v>
      </c>
      <c r="I53" s="4">
        <v>37.832500000000003</v>
      </c>
      <c r="J53" s="2" t="s">
        <v>539</v>
      </c>
      <c r="K53" s="2" t="s">
        <v>2446</v>
      </c>
      <c r="L53" s="2" t="s">
        <v>560</v>
      </c>
      <c r="M53" s="2" t="s">
        <v>546</v>
      </c>
      <c r="N53" s="2" t="s">
        <v>625</v>
      </c>
      <c r="O53" s="8" t="str">
        <f>HYPERLINK("http://images.bloomingdales.com/is/image/BLM/10555507 ")</f>
        <v xml:space="preserve">http://images.bloomingdales.com/is/image/BLM/10555507 </v>
      </c>
    </row>
    <row r="54" spans="1:15" ht="24.75" x14ac:dyDescent="0.25">
      <c r="A54" s="5" t="s">
        <v>683</v>
      </c>
      <c r="B54" s="2" t="s">
        <v>684</v>
      </c>
      <c r="C54" s="3">
        <v>9</v>
      </c>
      <c r="D54" s="6">
        <v>45</v>
      </c>
      <c r="E54" s="3" t="s">
        <v>685</v>
      </c>
      <c r="F54" s="2" t="s">
        <v>2440</v>
      </c>
      <c r="G54" s="7" t="s">
        <v>2531</v>
      </c>
      <c r="H54" s="4">
        <v>7.5664999999999996</v>
      </c>
      <c r="I54" s="4">
        <v>68.098500000000001</v>
      </c>
      <c r="J54" s="2" t="s">
        <v>539</v>
      </c>
      <c r="K54" s="2" t="s">
        <v>2446</v>
      </c>
      <c r="L54" s="2" t="s">
        <v>560</v>
      </c>
      <c r="M54" s="2" t="s">
        <v>546</v>
      </c>
      <c r="N54" s="2" t="s">
        <v>625</v>
      </c>
      <c r="O54" s="8" t="str">
        <f>HYPERLINK("http://images.bloomingdales.com/is/image/BLM/10555507 ")</f>
        <v xml:space="preserve">http://images.bloomingdales.com/is/image/BLM/10555507 </v>
      </c>
    </row>
    <row r="55" spans="1:15" ht="24.75" x14ac:dyDescent="0.25">
      <c r="A55" s="5" t="s">
        <v>686</v>
      </c>
      <c r="B55" s="2" t="s">
        <v>687</v>
      </c>
      <c r="C55" s="3">
        <v>4</v>
      </c>
      <c r="D55" s="6">
        <v>60</v>
      </c>
      <c r="E55" s="3" t="s">
        <v>688</v>
      </c>
      <c r="F55" s="2" t="s">
        <v>2381</v>
      </c>
      <c r="G55" s="7" t="s">
        <v>2478</v>
      </c>
      <c r="H55" s="4">
        <v>7.56</v>
      </c>
      <c r="I55" s="4">
        <v>30.24</v>
      </c>
      <c r="J55" s="2" t="s">
        <v>539</v>
      </c>
      <c r="K55" s="2" t="s">
        <v>1871</v>
      </c>
      <c r="L55" s="2" t="s">
        <v>560</v>
      </c>
      <c r="M55" s="2" t="s">
        <v>546</v>
      </c>
      <c r="N55" s="2" t="s">
        <v>2508</v>
      </c>
      <c r="O55" s="8" t="str">
        <f>HYPERLINK("http://images.bloomingdales.com/is/image/BLM/10568145 ")</f>
        <v xml:space="preserve">http://images.bloomingdales.com/is/image/BLM/10568145 </v>
      </c>
    </row>
    <row r="56" spans="1:15" ht="36.75" x14ac:dyDescent="0.25">
      <c r="A56" s="5" t="s">
        <v>689</v>
      </c>
      <c r="B56" s="2" t="s">
        <v>690</v>
      </c>
      <c r="C56" s="3">
        <v>1</v>
      </c>
      <c r="D56" s="6">
        <v>60</v>
      </c>
      <c r="E56" s="3" t="s">
        <v>691</v>
      </c>
      <c r="F56" s="2" t="s">
        <v>2374</v>
      </c>
      <c r="G56" s="7"/>
      <c r="H56" s="4">
        <v>7.56</v>
      </c>
      <c r="I56" s="4">
        <v>7.56</v>
      </c>
      <c r="J56" s="2" t="s">
        <v>539</v>
      </c>
      <c r="K56" s="2" t="s">
        <v>1871</v>
      </c>
      <c r="L56" s="2" t="s">
        <v>560</v>
      </c>
      <c r="M56" s="2" t="s">
        <v>546</v>
      </c>
      <c r="N56" s="2" t="s">
        <v>638</v>
      </c>
      <c r="O56" s="8" t="str">
        <f>HYPERLINK("http://images.bloomingdales.com/is/image/BLM/10568899 ")</f>
        <v xml:space="preserve">http://images.bloomingdales.com/is/image/BLM/10568899 </v>
      </c>
    </row>
    <row r="57" spans="1:15" x14ac:dyDescent="0.25">
      <c r="A57" s="5" t="s">
        <v>692</v>
      </c>
      <c r="B57" s="2" t="s">
        <v>693</v>
      </c>
      <c r="C57" s="3">
        <v>4</v>
      </c>
      <c r="D57" s="6">
        <v>59.99</v>
      </c>
      <c r="E57" s="3">
        <v>1003156800</v>
      </c>
      <c r="F57" s="2" t="s">
        <v>2374</v>
      </c>
      <c r="G57" s="7"/>
      <c r="H57" s="4">
        <v>7.1336000000000004</v>
      </c>
      <c r="I57" s="4">
        <v>28.534400000000002</v>
      </c>
      <c r="J57" s="2" t="s">
        <v>539</v>
      </c>
      <c r="K57" s="2" t="s">
        <v>2446</v>
      </c>
      <c r="L57" s="2" t="s">
        <v>694</v>
      </c>
      <c r="M57" s="2" t="s">
        <v>514</v>
      </c>
      <c r="N57" s="2" t="s">
        <v>2397</v>
      </c>
      <c r="O57" s="8" t="str">
        <f>HYPERLINK("http://images.bloomingdales.com/is/image/BLM/10024600 ")</f>
        <v xml:space="preserve">http://images.bloomingdales.com/is/image/BLM/10024600 </v>
      </c>
    </row>
    <row r="58" spans="1:15" ht="24.75" x14ac:dyDescent="0.25">
      <c r="A58" s="5" t="s">
        <v>695</v>
      </c>
      <c r="B58" s="2" t="s">
        <v>696</v>
      </c>
      <c r="C58" s="3">
        <v>5</v>
      </c>
      <c r="D58" s="6">
        <v>99.99</v>
      </c>
      <c r="E58" s="3" t="s">
        <v>697</v>
      </c>
      <c r="F58" s="2" t="s">
        <v>2793</v>
      </c>
      <c r="G58" s="7"/>
      <c r="H58" s="4">
        <v>6.8639999999999999</v>
      </c>
      <c r="I58" s="4">
        <v>34.32</v>
      </c>
      <c r="J58" s="2" t="s">
        <v>539</v>
      </c>
      <c r="K58" s="2" t="s">
        <v>2984</v>
      </c>
      <c r="L58" s="2" t="s">
        <v>513</v>
      </c>
      <c r="M58" s="2" t="s">
        <v>514</v>
      </c>
      <c r="N58" s="2" t="s">
        <v>2936</v>
      </c>
      <c r="O58" s="8" t="str">
        <f>HYPERLINK("http://images.bloomingdales.com/is/image/BLM/10158454 ")</f>
        <v xml:space="preserve">http://images.bloomingdales.com/is/image/BLM/10158454 </v>
      </c>
    </row>
    <row r="59" spans="1:15" ht="24.75" x14ac:dyDescent="0.25">
      <c r="A59" s="5" t="s">
        <v>698</v>
      </c>
      <c r="B59" s="2" t="s">
        <v>699</v>
      </c>
      <c r="C59" s="3">
        <v>2</v>
      </c>
      <c r="D59" s="6">
        <v>99.99</v>
      </c>
      <c r="E59" s="3" t="s">
        <v>700</v>
      </c>
      <c r="F59" s="2" t="s">
        <v>2381</v>
      </c>
      <c r="G59" s="7"/>
      <c r="H59" s="4">
        <v>6.8639999999999999</v>
      </c>
      <c r="I59" s="4">
        <v>13.728</v>
      </c>
      <c r="J59" s="2" t="s">
        <v>539</v>
      </c>
      <c r="K59" s="2" t="s">
        <v>2984</v>
      </c>
      <c r="L59" s="2" t="s">
        <v>513</v>
      </c>
      <c r="M59" s="2" t="s">
        <v>514</v>
      </c>
      <c r="N59" s="2" t="s">
        <v>2936</v>
      </c>
      <c r="O59" s="8" t="str">
        <f>HYPERLINK("http://images.bloomingdales.com/is/image/BLM/10158454 ")</f>
        <v xml:space="preserve">http://images.bloomingdales.com/is/image/BLM/10158454 </v>
      </c>
    </row>
    <row r="60" spans="1:15" ht="36.75" x14ac:dyDescent="0.25">
      <c r="A60" s="5" t="s">
        <v>701</v>
      </c>
      <c r="B60" s="2" t="s">
        <v>702</v>
      </c>
      <c r="C60" s="3">
        <v>4</v>
      </c>
      <c r="D60" s="6">
        <v>49</v>
      </c>
      <c r="E60" s="3" t="s">
        <v>703</v>
      </c>
      <c r="F60" s="2"/>
      <c r="G60" s="7" t="s">
        <v>704</v>
      </c>
      <c r="H60" s="4">
        <v>6.1740000000000004</v>
      </c>
      <c r="I60" s="4">
        <v>24.696000000000002</v>
      </c>
      <c r="J60" s="2" t="s">
        <v>539</v>
      </c>
      <c r="K60" s="2" t="s">
        <v>1871</v>
      </c>
      <c r="L60" s="2" t="s">
        <v>560</v>
      </c>
      <c r="M60" s="2" t="s">
        <v>546</v>
      </c>
      <c r="N60" s="2" t="s">
        <v>659</v>
      </c>
      <c r="O60" s="8" t="str">
        <f>HYPERLINK("http://images.bloomingdales.com/is/image/BLM/10568109 ")</f>
        <v xml:space="preserve">http://images.bloomingdales.com/is/image/BLM/10568109 </v>
      </c>
    </row>
    <row r="61" spans="1:15" ht="36.75" x14ac:dyDescent="0.25">
      <c r="A61" s="5" t="s">
        <v>705</v>
      </c>
      <c r="B61" s="2" t="s">
        <v>702</v>
      </c>
      <c r="C61" s="3">
        <v>6</v>
      </c>
      <c r="D61" s="6">
        <v>49</v>
      </c>
      <c r="E61" s="3" t="s">
        <v>706</v>
      </c>
      <c r="F61" s="2"/>
      <c r="G61" s="7" t="s">
        <v>704</v>
      </c>
      <c r="H61" s="4">
        <v>6.1740000000000004</v>
      </c>
      <c r="I61" s="4">
        <v>37.043999999999997</v>
      </c>
      <c r="J61" s="2" t="s">
        <v>539</v>
      </c>
      <c r="K61" s="2" t="s">
        <v>1871</v>
      </c>
      <c r="L61" s="2" t="s">
        <v>560</v>
      </c>
      <c r="M61" s="2" t="s">
        <v>546</v>
      </c>
      <c r="N61" s="2" t="s">
        <v>659</v>
      </c>
      <c r="O61" s="8" t="str">
        <f>HYPERLINK("http://images.bloomingdales.com/is/image/BLM/10568109 ")</f>
        <v xml:space="preserve">http://images.bloomingdales.com/is/image/BLM/10568109 </v>
      </c>
    </row>
    <row r="62" spans="1:15" ht="36.75" x14ac:dyDescent="0.25">
      <c r="A62" s="5" t="s">
        <v>707</v>
      </c>
      <c r="B62" s="2" t="s">
        <v>702</v>
      </c>
      <c r="C62" s="3">
        <v>6</v>
      </c>
      <c r="D62" s="6">
        <v>49</v>
      </c>
      <c r="E62" s="3" t="s">
        <v>708</v>
      </c>
      <c r="F62" s="2"/>
      <c r="G62" s="7" t="s">
        <v>704</v>
      </c>
      <c r="H62" s="4">
        <v>6.1740000000000004</v>
      </c>
      <c r="I62" s="4">
        <v>37.043999999999997</v>
      </c>
      <c r="J62" s="2" t="s">
        <v>539</v>
      </c>
      <c r="K62" s="2" t="s">
        <v>1871</v>
      </c>
      <c r="L62" s="2" t="s">
        <v>560</v>
      </c>
      <c r="M62" s="2" t="s">
        <v>546</v>
      </c>
      <c r="N62" s="2" t="s">
        <v>659</v>
      </c>
      <c r="O62" s="8" t="str">
        <f>HYPERLINK("http://images.bloomingdales.com/is/image/BLM/10568109 ")</f>
        <v xml:space="preserve">http://images.bloomingdales.com/is/image/BLM/10568109 </v>
      </c>
    </row>
    <row r="63" spans="1:15" ht="24.75" x14ac:dyDescent="0.25">
      <c r="A63" s="5" t="s">
        <v>709</v>
      </c>
      <c r="B63" s="2" t="s">
        <v>710</v>
      </c>
      <c r="C63" s="3">
        <v>4</v>
      </c>
      <c r="D63" s="6">
        <v>49</v>
      </c>
      <c r="E63" s="3" t="s">
        <v>711</v>
      </c>
      <c r="F63" s="2" t="s">
        <v>2949</v>
      </c>
      <c r="G63" s="7"/>
      <c r="H63" s="4">
        <v>6.1740000000000004</v>
      </c>
      <c r="I63" s="4">
        <v>24.696000000000002</v>
      </c>
      <c r="J63" s="2" t="s">
        <v>539</v>
      </c>
      <c r="K63" s="2" t="s">
        <v>1871</v>
      </c>
      <c r="L63" s="2" t="s">
        <v>560</v>
      </c>
      <c r="M63" s="2" t="s">
        <v>546</v>
      </c>
      <c r="N63" s="2" t="s">
        <v>561</v>
      </c>
      <c r="O63" s="8" t="str">
        <f>HYPERLINK("http://images.bloomingdales.com/is/image/BLM/10569762 ")</f>
        <v xml:space="preserve">http://images.bloomingdales.com/is/image/BLM/10569762 </v>
      </c>
    </row>
    <row r="64" spans="1:15" ht="36.75" x14ac:dyDescent="0.25">
      <c r="A64" s="5" t="s">
        <v>712</v>
      </c>
      <c r="B64" s="2" t="s">
        <v>713</v>
      </c>
      <c r="C64" s="3">
        <v>1</v>
      </c>
      <c r="D64" s="6">
        <v>49</v>
      </c>
      <c r="E64" s="3" t="s">
        <v>714</v>
      </c>
      <c r="F64" s="2" t="s">
        <v>2374</v>
      </c>
      <c r="G64" s="7"/>
      <c r="H64" s="4">
        <v>6.1740000000000004</v>
      </c>
      <c r="I64" s="4">
        <v>6.1740000000000004</v>
      </c>
      <c r="J64" s="2" t="s">
        <v>539</v>
      </c>
      <c r="K64" s="2" t="s">
        <v>1871</v>
      </c>
      <c r="L64" s="2" t="s">
        <v>560</v>
      </c>
      <c r="M64" s="2" t="s">
        <v>546</v>
      </c>
      <c r="N64" s="2" t="s">
        <v>638</v>
      </c>
      <c r="O64" s="8" t="str">
        <f>HYPERLINK("http://images.bloomingdales.com/is/image/BLM/10569955 ")</f>
        <v xml:space="preserve">http://images.bloomingdales.com/is/image/BLM/10569955 </v>
      </c>
    </row>
    <row r="65" spans="1:15" ht="36.75" x14ac:dyDescent="0.25">
      <c r="A65" s="5" t="s">
        <v>715</v>
      </c>
      <c r="B65" s="2" t="s">
        <v>713</v>
      </c>
      <c r="C65" s="3">
        <v>1</v>
      </c>
      <c r="D65" s="6">
        <v>49</v>
      </c>
      <c r="E65" s="3" t="s">
        <v>716</v>
      </c>
      <c r="F65" s="2" t="s">
        <v>2374</v>
      </c>
      <c r="G65" s="7"/>
      <c r="H65" s="4">
        <v>6.1740000000000004</v>
      </c>
      <c r="I65" s="4">
        <v>6.1740000000000004</v>
      </c>
      <c r="J65" s="2" t="s">
        <v>539</v>
      </c>
      <c r="K65" s="2" t="s">
        <v>1871</v>
      </c>
      <c r="L65" s="2" t="s">
        <v>560</v>
      </c>
      <c r="M65" s="2" t="s">
        <v>546</v>
      </c>
      <c r="N65" s="2" t="s">
        <v>638</v>
      </c>
      <c r="O65" s="8" t="str">
        <f>HYPERLINK("http://images.bloomingdales.com/is/image/BLM/10569955 ")</f>
        <v xml:space="preserve">http://images.bloomingdales.com/is/image/BLM/10569955 </v>
      </c>
    </row>
    <row r="66" spans="1:15" ht="36.75" x14ac:dyDescent="0.25">
      <c r="A66" s="5" t="s">
        <v>717</v>
      </c>
      <c r="B66" s="2" t="s">
        <v>713</v>
      </c>
      <c r="C66" s="3">
        <v>2</v>
      </c>
      <c r="D66" s="6">
        <v>49</v>
      </c>
      <c r="E66" s="3" t="s">
        <v>718</v>
      </c>
      <c r="F66" s="2" t="s">
        <v>3038</v>
      </c>
      <c r="G66" s="7"/>
      <c r="H66" s="4">
        <v>6.1740000000000004</v>
      </c>
      <c r="I66" s="4">
        <v>12.348000000000001</v>
      </c>
      <c r="J66" s="2" t="s">
        <v>539</v>
      </c>
      <c r="K66" s="2" t="s">
        <v>1871</v>
      </c>
      <c r="L66" s="2" t="s">
        <v>560</v>
      </c>
      <c r="M66" s="2" t="s">
        <v>546</v>
      </c>
      <c r="N66" s="2" t="s">
        <v>638</v>
      </c>
      <c r="O66" s="8" t="str">
        <f>HYPERLINK("http://images.bloomingdales.com/is/image/BLM/10569955 ")</f>
        <v xml:space="preserve">http://images.bloomingdales.com/is/image/BLM/10569955 </v>
      </c>
    </row>
    <row r="67" spans="1:15" ht="36.75" x14ac:dyDescent="0.25">
      <c r="A67" s="5" t="s">
        <v>719</v>
      </c>
      <c r="B67" s="2" t="s">
        <v>713</v>
      </c>
      <c r="C67" s="3">
        <v>1</v>
      </c>
      <c r="D67" s="6">
        <v>49</v>
      </c>
      <c r="E67" s="3" t="s">
        <v>720</v>
      </c>
      <c r="F67" s="2"/>
      <c r="G67" s="7"/>
      <c r="H67" s="4">
        <v>6.1740000000000004</v>
      </c>
      <c r="I67" s="4">
        <v>6.1740000000000004</v>
      </c>
      <c r="J67" s="2" t="s">
        <v>539</v>
      </c>
      <c r="K67" s="2" t="s">
        <v>1871</v>
      </c>
      <c r="L67" s="2" t="s">
        <v>560</v>
      </c>
      <c r="M67" s="2" t="s">
        <v>546</v>
      </c>
      <c r="N67" s="2" t="s">
        <v>638</v>
      </c>
      <c r="O67" s="8" t="str">
        <f>HYPERLINK("http://images.bloomingdales.com/is/image/BLM/10569955 ")</f>
        <v xml:space="preserve">http://images.bloomingdales.com/is/image/BLM/10569955 </v>
      </c>
    </row>
    <row r="68" spans="1:15" ht="24.75" x14ac:dyDescent="0.25">
      <c r="A68" s="5" t="s">
        <v>721</v>
      </c>
      <c r="B68" s="2" t="s">
        <v>722</v>
      </c>
      <c r="C68" s="3">
        <v>1</v>
      </c>
      <c r="D68" s="6">
        <v>39.99</v>
      </c>
      <c r="E68" s="3" t="s">
        <v>723</v>
      </c>
      <c r="F68" s="2" t="s">
        <v>2394</v>
      </c>
      <c r="G68" s="7"/>
      <c r="H68" s="4">
        <v>6</v>
      </c>
      <c r="I68" s="4">
        <v>6</v>
      </c>
      <c r="J68" s="2" t="s">
        <v>539</v>
      </c>
      <c r="K68" s="2" t="s">
        <v>2879</v>
      </c>
      <c r="L68" s="2" t="s">
        <v>2880</v>
      </c>
      <c r="M68" s="2" t="s">
        <v>2361</v>
      </c>
      <c r="N68" s="2" t="s">
        <v>2881</v>
      </c>
      <c r="O68" s="8" t="str">
        <f>HYPERLINK("http://slimages.macys.com/is/image/MCY/8152576 ")</f>
        <v xml:space="preserve">http://slimages.macys.com/is/image/MCY/8152576 </v>
      </c>
    </row>
    <row r="69" spans="1:15" ht="24.75" x14ac:dyDescent="0.25">
      <c r="A69" s="5" t="s">
        <v>724</v>
      </c>
      <c r="B69" s="2" t="s">
        <v>653</v>
      </c>
      <c r="C69" s="3">
        <v>3</v>
      </c>
      <c r="D69" s="6">
        <v>34.99</v>
      </c>
      <c r="E69" s="3" t="s">
        <v>725</v>
      </c>
      <c r="F69" s="2" t="s">
        <v>2374</v>
      </c>
      <c r="G69" s="7"/>
      <c r="H69" s="4">
        <v>5.25</v>
      </c>
      <c r="I69" s="4">
        <v>15.75</v>
      </c>
      <c r="J69" s="2" t="s">
        <v>539</v>
      </c>
      <c r="K69" s="2" t="s">
        <v>2879</v>
      </c>
      <c r="L69" s="2" t="s">
        <v>2880</v>
      </c>
      <c r="M69" s="2" t="s">
        <v>2361</v>
      </c>
      <c r="N69" s="2" t="s">
        <v>2881</v>
      </c>
      <c r="O69" s="8" t="str">
        <f>HYPERLINK("http://slimages.macys.com/is/image/MCY/3663850 ")</f>
        <v xml:space="preserve">http://slimages.macys.com/is/image/MCY/3663850 </v>
      </c>
    </row>
    <row r="70" spans="1:15" ht="24.75" x14ac:dyDescent="0.25">
      <c r="A70" s="5" t="s">
        <v>726</v>
      </c>
      <c r="B70" s="2" t="s">
        <v>653</v>
      </c>
      <c r="C70" s="3">
        <v>2</v>
      </c>
      <c r="D70" s="6">
        <v>34.99</v>
      </c>
      <c r="E70" s="3" t="s">
        <v>727</v>
      </c>
      <c r="F70" s="2" t="s">
        <v>2512</v>
      </c>
      <c r="G70" s="7"/>
      <c r="H70" s="4">
        <v>5.25</v>
      </c>
      <c r="I70" s="4">
        <v>10.5</v>
      </c>
      <c r="J70" s="2" t="s">
        <v>539</v>
      </c>
      <c r="K70" s="2" t="s">
        <v>2879</v>
      </c>
      <c r="L70" s="2" t="s">
        <v>2880</v>
      </c>
      <c r="M70" s="2" t="s">
        <v>2361</v>
      </c>
      <c r="N70" s="2" t="s">
        <v>2881</v>
      </c>
      <c r="O70" s="8" t="str">
        <f>HYPERLINK("http://slimages.macys.com/is/image/MCY/3663850 ")</f>
        <v xml:space="preserve">http://slimages.macys.com/is/image/MCY/3663850 </v>
      </c>
    </row>
    <row r="71" spans="1:15" ht="24.75" x14ac:dyDescent="0.25">
      <c r="A71" s="5" t="s">
        <v>728</v>
      </c>
      <c r="B71" s="2" t="s">
        <v>653</v>
      </c>
      <c r="C71" s="3">
        <v>1</v>
      </c>
      <c r="D71" s="6">
        <v>34.99</v>
      </c>
      <c r="E71" s="3" t="s">
        <v>729</v>
      </c>
      <c r="F71" s="2" t="s">
        <v>2506</v>
      </c>
      <c r="G71" s="7"/>
      <c r="H71" s="4">
        <v>5.25</v>
      </c>
      <c r="I71" s="4">
        <v>5.25</v>
      </c>
      <c r="J71" s="2" t="s">
        <v>539</v>
      </c>
      <c r="K71" s="2" t="s">
        <v>2879</v>
      </c>
      <c r="L71" s="2" t="s">
        <v>2880</v>
      </c>
      <c r="M71" s="2" t="s">
        <v>2361</v>
      </c>
      <c r="N71" s="2" t="s">
        <v>2881</v>
      </c>
      <c r="O71" s="8" t="str">
        <f>HYPERLINK("http://slimages.macys.com/is/image/MCY/3663850 ")</f>
        <v xml:space="preserve">http://slimages.macys.com/is/image/MCY/3663850 </v>
      </c>
    </row>
    <row r="72" spans="1:15" ht="24.75" x14ac:dyDescent="0.25">
      <c r="A72" s="5" t="s">
        <v>730</v>
      </c>
      <c r="B72" s="2" t="s">
        <v>731</v>
      </c>
      <c r="C72" s="3">
        <v>2</v>
      </c>
      <c r="D72" s="6">
        <v>34.99</v>
      </c>
      <c r="E72" s="3" t="s">
        <v>732</v>
      </c>
      <c r="F72" s="2" t="s">
        <v>2366</v>
      </c>
      <c r="G72" s="7"/>
      <c r="H72" s="4">
        <v>5.25</v>
      </c>
      <c r="I72" s="4">
        <v>10.5</v>
      </c>
      <c r="J72" s="2" t="s">
        <v>539</v>
      </c>
      <c r="K72" s="2" t="s">
        <v>2879</v>
      </c>
      <c r="L72" s="2" t="s">
        <v>2880</v>
      </c>
      <c r="M72" s="2" t="s">
        <v>2361</v>
      </c>
      <c r="N72" s="2" t="s">
        <v>2881</v>
      </c>
      <c r="O72" s="8" t="str">
        <f>HYPERLINK("http://slimages.macys.com/is/image/MCY/9262812 ")</f>
        <v xml:space="preserve">http://slimages.macys.com/is/image/MCY/9262812 </v>
      </c>
    </row>
    <row r="73" spans="1:15" ht="24.75" x14ac:dyDescent="0.25">
      <c r="A73" s="5" t="s">
        <v>733</v>
      </c>
      <c r="B73" s="2" t="s">
        <v>734</v>
      </c>
      <c r="C73" s="3">
        <v>2</v>
      </c>
      <c r="D73" s="6">
        <v>29</v>
      </c>
      <c r="E73" s="3" t="s">
        <v>735</v>
      </c>
      <c r="F73" s="2" t="s">
        <v>3408</v>
      </c>
      <c r="G73" s="7" t="s">
        <v>2531</v>
      </c>
      <c r="H73" s="4">
        <v>4.5065999999999997</v>
      </c>
      <c r="I73" s="4">
        <v>9.0131999999999994</v>
      </c>
      <c r="J73" s="2" t="s">
        <v>539</v>
      </c>
      <c r="K73" s="2" t="s">
        <v>2446</v>
      </c>
      <c r="L73" s="2" t="s">
        <v>560</v>
      </c>
      <c r="M73" s="2" t="s">
        <v>546</v>
      </c>
      <c r="N73" s="2" t="s">
        <v>2508</v>
      </c>
      <c r="O73" s="8" t="str">
        <f>HYPERLINK("http://images.bloomingdales.com/is/image/BLM/10555166 ")</f>
        <v xml:space="preserve">http://images.bloomingdales.com/is/image/BLM/10555166 </v>
      </c>
    </row>
    <row r="74" spans="1:15" ht="24.75" x14ac:dyDescent="0.25">
      <c r="A74" s="5" t="s">
        <v>736</v>
      </c>
      <c r="B74" s="2" t="s">
        <v>737</v>
      </c>
      <c r="C74" s="3">
        <v>3</v>
      </c>
      <c r="D74" s="6">
        <v>29</v>
      </c>
      <c r="E74" s="3" t="s">
        <v>738</v>
      </c>
      <c r="F74" s="2" t="s">
        <v>2506</v>
      </c>
      <c r="G74" s="7" t="s">
        <v>2531</v>
      </c>
      <c r="H74" s="4">
        <v>4.5065999999999997</v>
      </c>
      <c r="I74" s="4">
        <v>13.5198</v>
      </c>
      <c r="J74" s="2" t="s">
        <v>539</v>
      </c>
      <c r="K74" s="2" t="s">
        <v>2446</v>
      </c>
      <c r="L74" s="2" t="s">
        <v>560</v>
      </c>
      <c r="M74" s="2" t="s">
        <v>546</v>
      </c>
      <c r="N74" s="2" t="s">
        <v>2508</v>
      </c>
      <c r="O74" s="8" t="str">
        <f>HYPERLINK("http://images.bloomingdales.com/is/image/BLM/10555166 ")</f>
        <v xml:space="preserve">http://images.bloomingdales.com/is/image/BLM/10555166 </v>
      </c>
    </row>
    <row r="75" spans="1:15" ht="36.75" x14ac:dyDescent="0.25">
      <c r="A75" s="5" t="s">
        <v>739</v>
      </c>
      <c r="B75" s="2" t="s">
        <v>653</v>
      </c>
      <c r="C75" s="3">
        <v>1</v>
      </c>
      <c r="D75" s="6">
        <v>29.99</v>
      </c>
      <c r="E75" s="3" t="s">
        <v>740</v>
      </c>
      <c r="F75" s="2" t="s">
        <v>2597</v>
      </c>
      <c r="G75" s="7" t="s">
        <v>741</v>
      </c>
      <c r="H75" s="4">
        <v>4.5</v>
      </c>
      <c r="I75" s="4">
        <v>4.5</v>
      </c>
      <c r="J75" s="2" t="s">
        <v>539</v>
      </c>
      <c r="K75" s="2" t="s">
        <v>2879</v>
      </c>
      <c r="L75" s="2" t="s">
        <v>2880</v>
      </c>
      <c r="M75" s="2" t="s">
        <v>2361</v>
      </c>
      <c r="N75" s="2" t="s">
        <v>655</v>
      </c>
      <c r="O75" s="8" t="str">
        <f>HYPERLINK("http://slimages.macys.com/is/image/MCY/8289253 ")</f>
        <v xml:space="preserve">http://slimages.macys.com/is/image/MCY/8289253 </v>
      </c>
    </row>
    <row r="76" spans="1:15" ht="24.75" x14ac:dyDescent="0.25">
      <c r="A76" s="5" t="s">
        <v>742</v>
      </c>
      <c r="B76" s="2" t="s">
        <v>743</v>
      </c>
      <c r="C76" s="3">
        <v>4</v>
      </c>
      <c r="D76" s="6">
        <v>19.989999999999998</v>
      </c>
      <c r="E76" s="3" t="s">
        <v>744</v>
      </c>
      <c r="F76" s="2" t="s">
        <v>2366</v>
      </c>
      <c r="G76" s="7"/>
      <c r="H76" s="4">
        <v>3.1255000000000002</v>
      </c>
      <c r="I76" s="4">
        <v>12.502000000000001</v>
      </c>
      <c r="J76" s="2" t="s">
        <v>2343</v>
      </c>
      <c r="K76" s="2" t="s">
        <v>2419</v>
      </c>
      <c r="L76" s="2" t="s">
        <v>2406</v>
      </c>
      <c r="M76" s="2" t="s">
        <v>2361</v>
      </c>
      <c r="N76" s="2"/>
      <c r="O76" s="8" t="str">
        <f>HYPERLINK("http://slimages.macys.com/is/image/MCY/9927294 ")</f>
        <v xml:space="preserve">http://slimages.macys.com/is/image/MCY/9927294 </v>
      </c>
    </row>
    <row r="77" spans="1:15" ht="24.75" x14ac:dyDescent="0.25">
      <c r="A77" s="5" t="s">
        <v>745</v>
      </c>
      <c r="B77" s="2" t="s">
        <v>746</v>
      </c>
      <c r="C77" s="3">
        <v>1</v>
      </c>
      <c r="D77" s="6">
        <v>29</v>
      </c>
      <c r="E77" s="3" t="s">
        <v>747</v>
      </c>
      <c r="F77" s="2" t="s">
        <v>2440</v>
      </c>
      <c r="G77" s="7" t="s">
        <v>2546</v>
      </c>
      <c r="H77" s="4">
        <v>3.0525000000000002</v>
      </c>
      <c r="I77" s="4">
        <v>3.0525000000000002</v>
      </c>
      <c r="J77" s="2" t="s">
        <v>539</v>
      </c>
      <c r="K77" s="2" t="s">
        <v>2446</v>
      </c>
      <c r="L77" s="2" t="s">
        <v>560</v>
      </c>
      <c r="M77" s="2" t="s">
        <v>546</v>
      </c>
      <c r="N77" s="2" t="s">
        <v>2397</v>
      </c>
      <c r="O77" s="8" t="str">
        <f>HYPERLINK("http://images.bloomingdales.com/is/image/BLM/10555512 ")</f>
        <v xml:space="preserve">http://images.bloomingdales.com/is/image/BLM/10555512 </v>
      </c>
    </row>
    <row r="78" spans="1:15" ht="24.75" x14ac:dyDescent="0.25">
      <c r="A78" s="5" t="s">
        <v>748</v>
      </c>
      <c r="B78" s="2" t="s">
        <v>749</v>
      </c>
      <c r="C78" s="3">
        <v>2</v>
      </c>
      <c r="D78" s="6">
        <v>17.989999999999998</v>
      </c>
      <c r="E78" s="3" t="s">
        <v>750</v>
      </c>
      <c r="F78" s="2" t="s">
        <v>2440</v>
      </c>
      <c r="G78" s="7" t="s">
        <v>751</v>
      </c>
      <c r="H78" s="4">
        <v>1.722</v>
      </c>
      <c r="I78" s="4">
        <v>3.444</v>
      </c>
      <c r="J78" s="2" t="s">
        <v>2343</v>
      </c>
      <c r="K78" s="2" t="s">
        <v>2419</v>
      </c>
      <c r="L78" s="2" t="s">
        <v>2632</v>
      </c>
      <c r="M78" s="2" t="s">
        <v>2361</v>
      </c>
      <c r="N78" s="2" t="s">
        <v>2656</v>
      </c>
      <c r="O78" s="8" t="str">
        <f>HYPERLINK("http://slimages.macys.com/is/image/MCY/12266204 ")</f>
        <v xml:space="preserve">http://slimages.macys.com/is/image/MCY/12266204 </v>
      </c>
    </row>
    <row r="79" spans="1:15" ht="24.75" x14ac:dyDescent="0.25">
      <c r="A79" s="5" t="s">
        <v>752</v>
      </c>
      <c r="B79" s="2" t="s">
        <v>543</v>
      </c>
      <c r="C79" s="3">
        <v>1</v>
      </c>
      <c r="D79" s="6">
        <v>460</v>
      </c>
      <c r="E79" s="3">
        <v>5606454026778</v>
      </c>
      <c r="F79" s="2" t="s">
        <v>2601</v>
      </c>
      <c r="G79" s="7"/>
      <c r="H79" s="4">
        <v>54.9</v>
      </c>
      <c r="I79" s="4">
        <v>54.9</v>
      </c>
      <c r="J79" s="2" t="s">
        <v>539</v>
      </c>
      <c r="K79" s="2" t="s">
        <v>544</v>
      </c>
      <c r="L79" s="2" t="s">
        <v>545</v>
      </c>
      <c r="M79" s="2"/>
      <c r="N79" s="2"/>
      <c r="O79" s="8"/>
    </row>
    <row r="80" spans="1:15" ht="24.75" x14ac:dyDescent="0.25">
      <c r="A80" s="5" t="s">
        <v>753</v>
      </c>
      <c r="B80" s="2" t="s">
        <v>543</v>
      </c>
      <c r="C80" s="3">
        <v>1</v>
      </c>
      <c r="D80" s="6">
        <v>450</v>
      </c>
      <c r="E80" s="3">
        <v>5606454026747</v>
      </c>
      <c r="F80" s="2" t="s">
        <v>2601</v>
      </c>
      <c r="G80" s="7"/>
      <c r="H80" s="4">
        <v>53.7</v>
      </c>
      <c r="I80" s="4">
        <v>53.7</v>
      </c>
      <c r="J80" s="2" t="s">
        <v>539</v>
      </c>
      <c r="K80" s="2" t="s">
        <v>544</v>
      </c>
      <c r="L80" s="2" t="s">
        <v>545</v>
      </c>
      <c r="M80" s="2"/>
      <c r="N80" s="2"/>
      <c r="O80" s="8"/>
    </row>
    <row r="81" spans="1:15" ht="24.75" x14ac:dyDescent="0.25">
      <c r="A81" s="5" t="s">
        <v>754</v>
      </c>
      <c r="B81" s="2" t="s">
        <v>543</v>
      </c>
      <c r="C81" s="3">
        <v>3</v>
      </c>
      <c r="D81" s="6">
        <v>245</v>
      </c>
      <c r="E81" s="3">
        <v>5606454026792</v>
      </c>
      <c r="F81" s="2" t="s">
        <v>2601</v>
      </c>
      <c r="G81" s="7"/>
      <c r="H81" s="4">
        <v>29.4</v>
      </c>
      <c r="I81" s="4">
        <v>88.2</v>
      </c>
      <c r="J81" s="2" t="s">
        <v>539</v>
      </c>
      <c r="K81" s="2" t="s">
        <v>544</v>
      </c>
      <c r="L81" s="2" t="s">
        <v>545</v>
      </c>
      <c r="M81" s="2"/>
      <c r="N81" s="2"/>
      <c r="O81" s="8"/>
    </row>
    <row r="82" spans="1:15" ht="24.75" x14ac:dyDescent="0.25">
      <c r="A82" s="5" t="s">
        <v>755</v>
      </c>
      <c r="B82" s="2" t="s">
        <v>756</v>
      </c>
      <c r="C82" s="3">
        <v>6</v>
      </c>
      <c r="D82" s="6">
        <v>105.99</v>
      </c>
      <c r="E82" s="3" t="s">
        <v>757</v>
      </c>
      <c r="F82" s="2"/>
      <c r="G82" s="7"/>
      <c r="H82" s="4">
        <v>14.205</v>
      </c>
      <c r="I82" s="4">
        <v>85.23</v>
      </c>
      <c r="J82" s="2" t="s">
        <v>2343</v>
      </c>
      <c r="K82" s="2" t="s">
        <v>2359</v>
      </c>
      <c r="L82" s="2" t="s">
        <v>2727</v>
      </c>
      <c r="M82" s="2"/>
      <c r="N82" s="2"/>
      <c r="O82" s="8"/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RowHeight="15" x14ac:dyDescent="0.25"/>
  <cols>
    <col min="1" max="1" width="14.28515625" customWidth="1"/>
    <col min="2" max="2" width="49.7109375" customWidth="1"/>
    <col min="3" max="4" width="15" customWidth="1"/>
    <col min="5" max="5" width="14.8554687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24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72.75" x14ac:dyDescent="0.25">
      <c r="A2" s="5" t="s">
        <v>758</v>
      </c>
      <c r="B2" s="2" t="s">
        <v>759</v>
      </c>
      <c r="C2" s="3">
        <v>1</v>
      </c>
      <c r="D2" s="6">
        <v>399.99</v>
      </c>
      <c r="E2" s="3">
        <v>11296150</v>
      </c>
      <c r="F2" s="2" t="s">
        <v>2381</v>
      </c>
      <c r="G2" s="7"/>
      <c r="H2" s="2" t="s">
        <v>2412</v>
      </c>
      <c r="I2" s="2" t="s">
        <v>760</v>
      </c>
      <c r="J2" s="2" t="s">
        <v>2862</v>
      </c>
      <c r="K2" s="2" t="s">
        <v>761</v>
      </c>
      <c r="L2" s="8" t="str">
        <f>HYPERLINK("http://slimages.macys.com/is/image/MCY/3899943 ")</f>
        <v xml:space="preserve">http://slimages.macys.com/is/image/MCY/3899943 </v>
      </c>
    </row>
    <row r="3" spans="1:12" ht="36.75" x14ac:dyDescent="0.25">
      <c r="A3" s="5" t="s">
        <v>762</v>
      </c>
      <c r="B3" s="2" t="s">
        <v>763</v>
      </c>
      <c r="C3" s="3">
        <v>1</v>
      </c>
      <c r="D3" s="6">
        <v>339.99</v>
      </c>
      <c r="E3" s="3">
        <v>64034</v>
      </c>
      <c r="F3" s="2" t="s">
        <v>2464</v>
      </c>
      <c r="G3" s="7" t="s">
        <v>2382</v>
      </c>
      <c r="H3" s="2" t="s">
        <v>2412</v>
      </c>
      <c r="I3" s="2" t="s">
        <v>2823</v>
      </c>
      <c r="J3" s="2" t="s">
        <v>2361</v>
      </c>
      <c r="K3" s="2" t="s">
        <v>764</v>
      </c>
      <c r="L3" s="8" t="str">
        <f>HYPERLINK("http://slimages.macys.com/is/image/MCY/1324722 ")</f>
        <v xml:space="preserve">http://slimages.macys.com/is/image/MCY/1324722 </v>
      </c>
    </row>
    <row r="4" spans="1:12" ht="60.75" x14ac:dyDescent="0.25">
      <c r="A4" s="5" t="s">
        <v>765</v>
      </c>
      <c r="B4" s="2" t="s">
        <v>766</v>
      </c>
      <c r="C4" s="3">
        <v>1</v>
      </c>
      <c r="D4" s="6">
        <v>339.99</v>
      </c>
      <c r="E4" s="3">
        <v>63824</v>
      </c>
      <c r="F4" s="2" t="s">
        <v>2374</v>
      </c>
      <c r="G4" s="7"/>
      <c r="H4" s="2" t="s">
        <v>2412</v>
      </c>
      <c r="I4" s="2" t="s">
        <v>2823</v>
      </c>
      <c r="J4" s="2" t="s">
        <v>2361</v>
      </c>
      <c r="K4" s="2" t="s">
        <v>1818</v>
      </c>
      <c r="L4" s="8" t="str">
        <f>HYPERLINK("http://slimages.macys.com/is/image/MCY/12081987 ")</f>
        <v xml:space="preserve">http://slimages.macys.com/is/image/MCY/12081987 </v>
      </c>
    </row>
    <row r="5" spans="1:12" ht="60.75" x14ac:dyDescent="0.25">
      <c r="A5" s="5" t="s">
        <v>767</v>
      </c>
      <c r="B5" s="2" t="s">
        <v>768</v>
      </c>
      <c r="C5" s="3">
        <v>1</v>
      </c>
      <c r="D5" s="6">
        <v>289.99</v>
      </c>
      <c r="E5" s="3">
        <v>63823</v>
      </c>
      <c r="F5" s="2" t="s">
        <v>2374</v>
      </c>
      <c r="G5" s="7"/>
      <c r="H5" s="2" t="s">
        <v>2412</v>
      </c>
      <c r="I5" s="2" t="s">
        <v>2823</v>
      </c>
      <c r="J5" s="2" t="s">
        <v>2361</v>
      </c>
      <c r="K5" s="2" t="s">
        <v>1818</v>
      </c>
      <c r="L5" s="8" t="str">
        <f>HYPERLINK("http://slimages.macys.com/is/image/MCY/12081978 ")</f>
        <v xml:space="preserve">http://slimages.macys.com/is/image/MCY/12081978 </v>
      </c>
    </row>
    <row r="6" spans="1:12" ht="24.75" x14ac:dyDescent="0.25">
      <c r="A6" s="5" t="s">
        <v>769</v>
      </c>
      <c r="B6" s="2" t="s">
        <v>770</v>
      </c>
      <c r="C6" s="3">
        <v>1</v>
      </c>
      <c r="D6" s="6">
        <v>343.99</v>
      </c>
      <c r="E6" s="3" t="s">
        <v>771</v>
      </c>
      <c r="F6" s="2" t="s">
        <v>2381</v>
      </c>
      <c r="G6" s="7"/>
      <c r="H6" s="2" t="s">
        <v>2359</v>
      </c>
      <c r="I6" s="2" t="s">
        <v>1488</v>
      </c>
      <c r="J6" s="2" t="s">
        <v>2361</v>
      </c>
      <c r="K6" s="2" t="s">
        <v>3471</v>
      </c>
      <c r="L6" s="8" t="str">
        <f>HYPERLINK("http://slimages.macys.com/is/image/MCY/13046319 ")</f>
        <v xml:space="preserve">http://slimages.macys.com/is/image/MCY/13046319 </v>
      </c>
    </row>
    <row r="7" spans="1:12" ht="36.75" x14ac:dyDescent="0.25">
      <c r="A7" s="5" t="s">
        <v>772</v>
      </c>
      <c r="B7" s="2" t="s">
        <v>773</v>
      </c>
      <c r="C7" s="3">
        <v>1</v>
      </c>
      <c r="D7" s="6">
        <v>249.99</v>
      </c>
      <c r="E7" s="3" t="s">
        <v>774</v>
      </c>
      <c r="F7" s="2" t="s">
        <v>2374</v>
      </c>
      <c r="G7" s="7"/>
      <c r="H7" s="2" t="s">
        <v>775</v>
      </c>
      <c r="I7" s="2" t="s">
        <v>2466</v>
      </c>
      <c r="J7" s="2" t="s">
        <v>2467</v>
      </c>
      <c r="K7" s="2"/>
      <c r="L7" s="8" t="str">
        <f>HYPERLINK("http://slimages.macys.com/is/image/MCY/11759433 ")</f>
        <v xml:space="preserve">http://slimages.macys.com/is/image/MCY/11759433 </v>
      </c>
    </row>
    <row r="8" spans="1:12" ht="36.75" x14ac:dyDescent="0.25">
      <c r="A8" s="5" t="s">
        <v>776</v>
      </c>
      <c r="B8" s="2" t="s">
        <v>777</v>
      </c>
      <c r="C8" s="3">
        <v>1</v>
      </c>
      <c r="D8" s="6">
        <v>179.99</v>
      </c>
      <c r="E8" s="3">
        <v>64024</v>
      </c>
      <c r="F8" s="2" t="s">
        <v>2464</v>
      </c>
      <c r="G8" s="7" t="s">
        <v>2382</v>
      </c>
      <c r="H8" s="2" t="s">
        <v>2412</v>
      </c>
      <c r="I8" s="2" t="s">
        <v>2823</v>
      </c>
      <c r="J8" s="2" t="s">
        <v>2361</v>
      </c>
      <c r="K8" s="2" t="s">
        <v>764</v>
      </c>
      <c r="L8" s="8" t="str">
        <f>HYPERLINK("http://slimages.macys.com/is/image/MCY/1324721 ")</f>
        <v xml:space="preserve">http://slimages.macys.com/is/image/MCY/1324721 </v>
      </c>
    </row>
    <row r="9" spans="1:12" ht="24.75" x14ac:dyDescent="0.25">
      <c r="A9" s="5" t="s">
        <v>778</v>
      </c>
      <c r="B9" s="2" t="s">
        <v>779</v>
      </c>
      <c r="C9" s="3">
        <v>1</v>
      </c>
      <c r="D9" s="6">
        <v>239.99</v>
      </c>
      <c r="E9" s="3" t="s">
        <v>780</v>
      </c>
      <c r="F9" s="2" t="s">
        <v>2464</v>
      </c>
      <c r="G9" s="7"/>
      <c r="H9" s="2" t="s">
        <v>2465</v>
      </c>
      <c r="I9" s="2" t="s">
        <v>2954</v>
      </c>
      <c r="J9" s="2" t="s">
        <v>2361</v>
      </c>
      <c r="K9" s="2"/>
      <c r="L9" s="8" t="str">
        <f>HYPERLINK("http://slimages.macys.com/is/image/MCY/9369485 ")</f>
        <v xml:space="preserve">http://slimages.macys.com/is/image/MCY/9369485 </v>
      </c>
    </row>
    <row r="10" spans="1:12" ht="24.75" x14ac:dyDescent="0.25">
      <c r="A10" s="5" t="s">
        <v>781</v>
      </c>
      <c r="B10" s="2" t="s">
        <v>782</v>
      </c>
      <c r="C10" s="3">
        <v>2</v>
      </c>
      <c r="D10" s="6">
        <v>199.99</v>
      </c>
      <c r="E10" s="3">
        <v>92751</v>
      </c>
      <c r="F10" s="2" t="s">
        <v>2374</v>
      </c>
      <c r="G10" s="7"/>
      <c r="H10" s="2" t="s">
        <v>2412</v>
      </c>
      <c r="I10" s="2" t="s">
        <v>2701</v>
      </c>
      <c r="J10" s="2" t="s">
        <v>2361</v>
      </c>
      <c r="K10" s="2" t="s">
        <v>783</v>
      </c>
      <c r="L10" s="8" t="str">
        <f>HYPERLINK("http://slimages.macys.com/is/image/MCY/2831819 ")</f>
        <v xml:space="preserve">http://slimages.macys.com/is/image/MCY/2831819 </v>
      </c>
    </row>
    <row r="11" spans="1:12" ht="24.75" x14ac:dyDescent="0.25">
      <c r="A11" s="5" t="s">
        <v>784</v>
      </c>
      <c r="B11" s="2" t="s">
        <v>785</v>
      </c>
      <c r="C11" s="3">
        <v>1</v>
      </c>
      <c r="D11" s="6">
        <v>114.99</v>
      </c>
      <c r="E11" s="3" t="s">
        <v>786</v>
      </c>
      <c r="F11" s="2" t="s">
        <v>2536</v>
      </c>
      <c r="G11" s="7"/>
      <c r="H11" s="2" t="s">
        <v>2459</v>
      </c>
      <c r="I11" s="2" t="s">
        <v>787</v>
      </c>
      <c r="J11" s="2" t="s">
        <v>2361</v>
      </c>
      <c r="K11" s="2"/>
      <c r="L11" s="8" t="str">
        <f>HYPERLINK("http://slimages.macys.com/is/image/MCY/8613031 ")</f>
        <v xml:space="preserve">http://slimages.macys.com/is/image/MCY/8613031 </v>
      </c>
    </row>
    <row r="12" spans="1:12" ht="24.75" x14ac:dyDescent="0.25">
      <c r="A12" s="5" t="s">
        <v>788</v>
      </c>
      <c r="B12" s="2" t="s">
        <v>789</v>
      </c>
      <c r="C12" s="3">
        <v>1</v>
      </c>
      <c r="D12" s="6">
        <v>147.99</v>
      </c>
      <c r="E12" s="3" t="s">
        <v>790</v>
      </c>
      <c r="F12" s="2" t="s">
        <v>2582</v>
      </c>
      <c r="G12" s="7"/>
      <c r="H12" s="2" t="s">
        <v>2359</v>
      </c>
      <c r="I12" s="2" t="s">
        <v>2784</v>
      </c>
      <c r="J12" s="2" t="s">
        <v>2361</v>
      </c>
      <c r="K12" s="2" t="s">
        <v>1061</v>
      </c>
      <c r="L12" s="8" t="str">
        <f>HYPERLINK("http://slimages.macys.com/is/image/MCY/16181046 ")</f>
        <v xml:space="preserve">http://slimages.macys.com/is/image/MCY/16181046 </v>
      </c>
    </row>
    <row r="13" spans="1:12" ht="24.75" x14ac:dyDescent="0.25">
      <c r="A13" s="5" t="s">
        <v>2752</v>
      </c>
      <c r="B13" s="2" t="s">
        <v>791</v>
      </c>
      <c r="C13" s="3">
        <v>1</v>
      </c>
      <c r="D13" s="6">
        <v>119.99</v>
      </c>
      <c r="E13" s="3" t="s">
        <v>2754</v>
      </c>
      <c r="F13" s="2" t="s">
        <v>2440</v>
      </c>
      <c r="G13" s="7"/>
      <c r="H13" s="2" t="s">
        <v>2419</v>
      </c>
      <c r="I13" s="2" t="s">
        <v>2583</v>
      </c>
      <c r="J13" s="2" t="s">
        <v>2361</v>
      </c>
      <c r="K13" s="2" t="s">
        <v>2377</v>
      </c>
      <c r="L13" s="8" t="str">
        <f>HYPERLINK("http://slimages.macys.com/is/image/MCY/10023204 ")</f>
        <v xml:space="preserve">http://slimages.macys.com/is/image/MCY/10023204 </v>
      </c>
    </row>
    <row r="14" spans="1:12" ht="24.75" x14ac:dyDescent="0.25">
      <c r="A14" s="5" t="s">
        <v>792</v>
      </c>
      <c r="B14" s="2" t="s">
        <v>793</v>
      </c>
      <c r="C14" s="3">
        <v>2</v>
      </c>
      <c r="D14" s="6">
        <v>79.989999999999995</v>
      </c>
      <c r="E14" s="3">
        <v>1614523</v>
      </c>
      <c r="F14" s="2" t="s">
        <v>2374</v>
      </c>
      <c r="G14" s="7"/>
      <c r="H14" s="2" t="s">
        <v>2815</v>
      </c>
      <c r="I14" s="2" t="s">
        <v>794</v>
      </c>
      <c r="J14" s="2" t="s">
        <v>2432</v>
      </c>
      <c r="K14" s="2" t="s">
        <v>795</v>
      </c>
      <c r="L14" s="8" t="str">
        <f>HYPERLINK("http://images.bloomingdales.com/is/image/BLM/9879815 ")</f>
        <v xml:space="preserve">http://images.bloomingdales.com/is/image/BLM/9879815 </v>
      </c>
    </row>
    <row r="15" spans="1:12" ht="24.75" x14ac:dyDescent="0.25">
      <c r="A15" s="5" t="s">
        <v>796</v>
      </c>
      <c r="B15" s="2" t="s">
        <v>797</v>
      </c>
      <c r="C15" s="3">
        <v>2</v>
      </c>
      <c r="D15" s="6">
        <v>80.989999999999995</v>
      </c>
      <c r="E15" s="3" t="s">
        <v>798</v>
      </c>
      <c r="F15" s="2" t="s">
        <v>2366</v>
      </c>
      <c r="G15" s="7"/>
      <c r="H15" s="2" t="s">
        <v>2419</v>
      </c>
      <c r="I15" s="2" t="s">
        <v>1125</v>
      </c>
      <c r="J15" s="2" t="s">
        <v>2361</v>
      </c>
      <c r="K15" s="2"/>
      <c r="L15" s="8" t="str">
        <f>HYPERLINK("http://slimages.macys.com/is/image/MCY/9660244 ")</f>
        <v xml:space="preserve">http://slimages.macys.com/is/image/MCY/9660244 </v>
      </c>
    </row>
    <row r="16" spans="1:12" ht="72.75" x14ac:dyDescent="0.25">
      <c r="A16" s="5" t="s">
        <v>799</v>
      </c>
      <c r="B16" s="2" t="s">
        <v>800</v>
      </c>
      <c r="C16" s="3">
        <v>1</v>
      </c>
      <c r="D16" s="6">
        <v>111.99</v>
      </c>
      <c r="E16" s="3" t="s">
        <v>801</v>
      </c>
      <c r="F16" s="2" t="s">
        <v>2622</v>
      </c>
      <c r="G16" s="7"/>
      <c r="H16" s="2" t="s">
        <v>2359</v>
      </c>
      <c r="I16" s="2" t="s">
        <v>2803</v>
      </c>
      <c r="J16" s="2" t="s">
        <v>2361</v>
      </c>
      <c r="K16" s="2" t="s">
        <v>802</v>
      </c>
      <c r="L16" s="8" t="str">
        <f>HYPERLINK("http://slimages.macys.com/is/image/MCY/10005645 ")</f>
        <v xml:space="preserve">http://slimages.macys.com/is/image/MCY/10005645 </v>
      </c>
    </row>
    <row r="17" spans="1:12" ht="24.75" x14ac:dyDescent="0.25">
      <c r="A17" s="5" t="s">
        <v>803</v>
      </c>
      <c r="B17" s="2" t="s">
        <v>804</v>
      </c>
      <c r="C17" s="3">
        <v>2</v>
      </c>
      <c r="D17" s="6">
        <v>68.989999999999995</v>
      </c>
      <c r="E17" s="3" t="s">
        <v>805</v>
      </c>
      <c r="F17" s="2" t="s">
        <v>2366</v>
      </c>
      <c r="G17" s="7"/>
      <c r="H17" s="2" t="s">
        <v>2419</v>
      </c>
      <c r="I17" s="2" t="s">
        <v>1125</v>
      </c>
      <c r="J17" s="2" t="s">
        <v>2361</v>
      </c>
      <c r="K17" s="2"/>
      <c r="L17" s="8" t="str">
        <f>HYPERLINK("http://slimages.macys.com/is/image/MCY/9660244 ")</f>
        <v xml:space="preserve">http://slimages.macys.com/is/image/MCY/9660244 </v>
      </c>
    </row>
    <row r="18" spans="1:12" ht="24.75" x14ac:dyDescent="0.25">
      <c r="A18" s="5" t="s">
        <v>806</v>
      </c>
      <c r="B18" s="2" t="s">
        <v>807</v>
      </c>
      <c r="C18" s="3">
        <v>2</v>
      </c>
      <c r="D18" s="6">
        <v>54.99</v>
      </c>
      <c r="E18" s="3">
        <v>1599291</v>
      </c>
      <c r="F18" s="2" t="s">
        <v>2374</v>
      </c>
      <c r="G18" s="7"/>
      <c r="H18" s="2" t="s">
        <v>2815</v>
      </c>
      <c r="I18" s="2" t="s">
        <v>794</v>
      </c>
      <c r="J18" s="2"/>
      <c r="K18" s="2"/>
      <c r="L18" s="8" t="str">
        <f>HYPERLINK("http://images.bloomingdales.com/is/image/BLM/10058158 ")</f>
        <v xml:space="preserve">http://images.bloomingdales.com/is/image/BLM/10058158 </v>
      </c>
    </row>
    <row r="19" spans="1:12" ht="24.75" x14ac:dyDescent="0.25">
      <c r="A19" s="5" t="s">
        <v>808</v>
      </c>
      <c r="B19" s="2" t="s">
        <v>809</v>
      </c>
      <c r="C19" s="3">
        <v>1</v>
      </c>
      <c r="D19" s="6">
        <v>59.99</v>
      </c>
      <c r="E19" s="3" t="s">
        <v>810</v>
      </c>
      <c r="F19" s="2" t="s">
        <v>3038</v>
      </c>
      <c r="G19" s="7" t="s">
        <v>811</v>
      </c>
      <c r="H19" s="2" t="s">
        <v>1871</v>
      </c>
      <c r="I19" s="2" t="s">
        <v>1872</v>
      </c>
      <c r="J19" s="2" t="s">
        <v>2361</v>
      </c>
      <c r="K19" s="2" t="s">
        <v>2751</v>
      </c>
      <c r="L19" s="8" t="str">
        <f>HYPERLINK("http://slimages.macys.com/is/image/MCY/8770491 ")</f>
        <v xml:space="preserve">http://slimages.macys.com/is/image/MCY/8770491 </v>
      </c>
    </row>
    <row r="20" spans="1:12" ht="96.75" x14ac:dyDescent="0.25">
      <c r="A20" s="5" t="s">
        <v>812</v>
      </c>
      <c r="B20" s="2" t="s">
        <v>813</v>
      </c>
      <c r="C20" s="3">
        <v>1</v>
      </c>
      <c r="D20" s="6">
        <v>69.989999999999995</v>
      </c>
      <c r="E20" s="3" t="s">
        <v>814</v>
      </c>
      <c r="F20" s="2" t="s">
        <v>815</v>
      </c>
      <c r="G20" s="7"/>
      <c r="H20" s="2" t="s">
        <v>2359</v>
      </c>
      <c r="I20" s="2" t="s">
        <v>2406</v>
      </c>
      <c r="J20" s="2" t="s">
        <v>2361</v>
      </c>
      <c r="K20" s="2" t="s">
        <v>3516</v>
      </c>
      <c r="L20" s="8" t="str">
        <f>HYPERLINK("http://slimages.macys.com/is/image/MCY/9492585 ")</f>
        <v xml:space="preserve">http://slimages.macys.com/is/image/MCY/9492585 </v>
      </c>
    </row>
    <row r="21" spans="1:12" ht="24.75" x14ac:dyDescent="0.25">
      <c r="A21" s="5" t="s">
        <v>816</v>
      </c>
      <c r="B21" s="2" t="s">
        <v>817</v>
      </c>
      <c r="C21" s="3">
        <v>1</v>
      </c>
      <c r="D21" s="6">
        <v>49.99</v>
      </c>
      <c r="E21" s="3" t="s">
        <v>818</v>
      </c>
      <c r="F21" s="2"/>
      <c r="G21" s="7"/>
      <c r="H21" s="2" t="s">
        <v>2459</v>
      </c>
      <c r="I21" s="2" t="s">
        <v>1442</v>
      </c>
      <c r="J21" s="2" t="s">
        <v>2361</v>
      </c>
      <c r="K21" s="2"/>
      <c r="L21" s="8" t="str">
        <f>HYPERLINK("http://slimages.macys.com/is/image/MCY/8405298 ")</f>
        <v xml:space="preserve">http://slimages.macys.com/is/image/MCY/8405298 </v>
      </c>
    </row>
    <row r="22" spans="1:12" ht="24.75" x14ac:dyDescent="0.25">
      <c r="A22" s="5" t="s">
        <v>3004</v>
      </c>
      <c r="B22" s="2" t="s">
        <v>819</v>
      </c>
      <c r="C22" s="3">
        <v>1</v>
      </c>
      <c r="D22" s="6">
        <v>53.99</v>
      </c>
      <c r="E22" s="3" t="s">
        <v>3005</v>
      </c>
      <c r="F22" s="2" t="s">
        <v>2374</v>
      </c>
      <c r="G22" s="7" t="s">
        <v>2977</v>
      </c>
      <c r="H22" s="2" t="s">
        <v>2412</v>
      </c>
      <c r="I22" s="2" t="s">
        <v>2788</v>
      </c>
      <c r="J22" s="2" t="s">
        <v>2361</v>
      </c>
      <c r="K22" s="2" t="s">
        <v>2656</v>
      </c>
      <c r="L22" s="8" t="str">
        <f>HYPERLINK("http://slimages.macys.com/is/image/MCY/11798755 ")</f>
        <v xml:space="preserve">http://slimages.macys.com/is/image/MCY/11798755 </v>
      </c>
    </row>
    <row r="23" spans="1:12" ht="24.75" x14ac:dyDescent="0.25">
      <c r="A23" s="5" t="s">
        <v>2456</v>
      </c>
      <c r="B23" s="2" t="s">
        <v>820</v>
      </c>
      <c r="C23" s="3">
        <v>2</v>
      </c>
      <c r="D23" s="6">
        <v>39.99</v>
      </c>
      <c r="E23" s="3">
        <v>756531</v>
      </c>
      <c r="F23" s="2" t="s">
        <v>2458</v>
      </c>
      <c r="G23" s="7"/>
      <c r="H23" s="2" t="s">
        <v>2459</v>
      </c>
      <c r="I23" s="2" t="s">
        <v>2460</v>
      </c>
      <c r="J23" s="2" t="s">
        <v>2361</v>
      </c>
      <c r="K23" s="2"/>
      <c r="L23" s="8" t="str">
        <f>HYPERLINK("http://slimages.macys.com/is/image/MCY/9790834 ")</f>
        <v xml:space="preserve">http://slimages.macys.com/is/image/MCY/9790834 </v>
      </c>
    </row>
    <row r="24" spans="1:12" ht="24.75" x14ac:dyDescent="0.25">
      <c r="A24" s="5" t="s">
        <v>821</v>
      </c>
      <c r="B24" s="2" t="s">
        <v>793</v>
      </c>
      <c r="C24" s="3">
        <v>1</v>
      </c>
      <c r="D24" s="6">
        <v>39.99</v>
      </c>
      <c r="E24" s="3">
        <v>1613948</v>
      </c>
      <c r="F24" s="2" t="s">
        <v>2366</v>
      </c>
      <c r="G24" s="7"/>
      <c r="H24" s="2" t="s">
        <v>2815</v>
      </c>
      <c r="I24" s="2" t="s">
        <v>794</v>
      </c>
      <c r="J24" s="2" t="s">
        <v>2361</v>
      </c>
      <c r="K24" s="2" t="s">
        <v>822</v>
      </c>
      <c r="L24" s="8" t="str">
        <f>HYPERLINK("http://images.bloomingdales.com/is/image/BLM/8236190 ")</f>
        <v xml:space="preserve">http://images.bloomingdales.com/is/image/BLM/8236190 </v>
      </c>
    </row>
    <row r="25" spans="1:12" ht="24.75" x14ac:dyDescent="0.25">
      <c r="A25" s="5" t="s">
        <v>2099</v>
      </c>
      <c r="B25" s="2" t="s">
        <v>180</v>
      </c>
      <c r="C25" s="3">
        <v>3</v>
      </c>
      <c r="D25" s="6">
        <v>31.99</v>
      </c>
      <c r="E25" s="3" t="s">
        <v>2101</v>
      </c>
      <c r="F25" s="2" t="s">
        <v>3547</v>
      </c>
      <c r="G25" s="7"/>
      <c r="H25" s="2" t="s">
        <v>2419</v>
      </c>
      <c r="I25" s="2" t="s">
        <v>2406</v>
      </c>
      <c r="J25" s="2" t="s">
        <v>2361</v>
      </c>
      <c r="K25" s="2"/>
      <c r="L25" s="8" t="str">
        <f>HYPERLINK("http://slimages.macys.com/is/image/MCY/9911829 ")</f>
        <v xml:space="preserve">http://slimages.macys.com/is/image/MCY/9911829 </v>
      </c>
    </row>
    <row r="26" spans="1:12" ht="24.75" x14ac:dyDescent="0.25">
      <c r="A26" s="5" t="s">
        <v>823</v>
      </c>
      <c r="B26" s="2" t="s">
        <v>824</v>
      </c>
      <c r="C26" s="3">
        <v>1</v>
      </c>
      <c r="D26" s="6">
        <v>39.99</v>
      </c>
      <c r="E26" s="3" t="s">
        <v>825</v>
      </c>
      <c r="F26" s="2" t="s">
        <v>2440</v>
      </c>
      <c r="G26" s="7" t="s">
        <v>2518</v>
      </c>
      <c r="H26" s="2" t="s">
        <v>2368</v>
      </c>
      <c r="I26" s="2" t="s">
        <v>1113</v>
      </c>
      <c r="J26" s="2" t="s">
        <v>2361</v>
      </c>
      <c r="K26" s="2"/>
      <c r="L26" s="8" t="str">
        <f>HYPERLINK("http://slimages.macys.com/is/image/MCY/8183472 ")</f>
        <v xml:space="preserve">http://slimages.macys.com/is/image/MCY/8183472 </v>
      </c>
    </row>
    <row r="27" spans="1:12" ht="24.75" x14ac:dyDescent="0.25">
      <c r="A27" s="5" t="s">
        <v>3199</v>
      </c>
      <c r="B27" s="2" t="s">
        <v>826</v>
      </c>
      <c r="C27" s="3">
        <v>1</v>
      </c>
      <c r="D27" s="6">
        <v>39.99</v>
      </c>
      <c r="E27" s="3">
        <v>10004047600</v>
      </c>
      <c r="F27" s="2" t="s">
        <v>2440</v>
      </c>
      <c r="G27" s="7" t="s">
        <v>3039</v>
      </c>
      <c r="H27" s="2" t="s">
        <v>2368</v>
      </c>
      <c r="I27" s="2" t="s">
        <v>2369</v>
      </c>
      <c r="J27" s="2" t="s">
        <v>2432</v>
      </c>
      <c r="K27" s="2"/>
      <c r="L27" s="8" t="str">
        <f>HYPERLINK("http://slimages.macys.com/is/image/MCY/11390187 ")</f>
        <v xml:space="preserve">http://slimages.macys.com/is/image/MCY/11390187 </v>
      </c>
    </row>
    <row r="28" spans="1:12" ht="24.75" x14ac:dyDescent="0.25">
      <c r="A28" s="5" t="s">
        <v>827</v>
      </c>
      <c r="B28" s="2" t="s">
        <v>828</v>
      </c>
      <c r="C28" s="3">
        <v>1</v>
      </c>
      <c r="D28" s="6">
        <v>36.99</v>
      </c>
      <c r="E28" s="3" t="s">
        <v>829</v>
      </c>
      <c r="F28" s="2" t="s">
        <v>201</v>
      </c>
      <c r="G28" s="7"/>
      <c r="H28" s="2" t="s">
        <v>2419</v>
      </c>
      <c r="I28" s="2" t="s">
        <v>2406</v>
      </c>
      <c r="J28" s="2" t="s">
        <v>2361</v>
      </c>
      <c r="K28" s="2" t="s">
        <v>2831</v>
      </c>
      <c r="L28" s="8" t="str">
        <f>HYPERLINK("http://slimages.macys.com/is/image/MCY/9929848 ")</f>
        <v xml:space="preserve">http://slimages.macys.com/is/image/MCY/9929848 </v>
      </c>
    </row>
    <row r="29" spans="1:12" ht="24.75" x14ac:dyDescent="0.25">
      <c r="A29" s="5" t="s">
        <v>1925</v>
      </c>
      <c r="B29" s="2" t="s">
        <v>830</v>
      </c>
      <c r="C29" s="3">
        <v>3</v>
      </c>
      <c r="D29" s="6">
        <v>29.99</v>
      </c>
      <c r="E29" s="3">
        <v>1006349800</v>
      </c>
      <c r="F29" s="2" t="s">
        <v>2374</v>
      </c>
      <c r="G29" s="7"/>
      <c r="H29" s="2" t="s">
        <v>2532</v>
      </c>
      <c r="I29" s="2" t="s">
        <v>2474</v>
      </c>
      <c r="J29" s="2" t="s">
        <v>2361</v>
      </c>
      <c r="K29" s="2" t="s">
        <v>2831</v>
      </c>
      <c r="L29" s="8" t="str">
        <f>HYPERLINK("http://slimages.macys.com/is/image/MCY/13469432 ")</f>
        <v xml:space="preserve">http://slimages.macys.com/is/image/MCY/13469432 </v>
      </c>
    </row>
    <row r="30" spans="1:12" ht="24.75" x14ac:dyDescent="0.25">
      <c r="A30" s="5" t="s">
        <v>831</v>
      </c>
      <c r="B30" s="2" t="s">
        <v>832</v>
      </c>
      <c r="C30" s="3">
        <v>1</v>
      </c>
      <c r="D30" s="6">
        <v>31.99</v>
      </c>
      <c r="E30" s="3" t="s">
        <v>833</v>
      </c>
      <c r="F30" s="2" t="s">
        <v>2440</v>
      </c>
      <c r="G30" s="7"/>
      <c r="H30" s="2" t="s">
        <v>2419</v>
      </c>
      <c r="I30" s="2" t="s">
        <v>2406</v>
      </c>
      <c r="J30" s="2" t="s">
        <v>2361</v>
      </c>
      <c r="K30" s="2"/>
      <c r="L30" s="8" t="str">
        <f>HYPERLINK("http://slimages.macys.com/is/image/MCY/9912809 ")</f>
        <v xml:space="preserve">http://slimages.macys.com/is/image/MCY/9912809 </v>
      </c>
    </row>
    <row r="31" spans="1:12" ht="24.75" x14ac:dyDescent="0.25">
      <c r="A31" s="5" t="s">
        <v>834</v>
      </c>
      <c r="B31" s="2" t="s">
        <v>835</v>
      </c>
      <c r="C31" s="3">
        <v>1</v>
      </c>
      <c r="D31" s="6">
        <v>44.99</v>
      </c>
      <c r="E31" s="3" t="s">
        <v>836</v>
      </c>
      <c r="F31" s="2" t="s">
        <v>2849</v>
      </c>
      <c r="G31" s="7"/>
      <c r="H31" s="2" t="s">
        <v>2359</v>
      </c>
      <c r="I31" s="2" t="s">
        <v>2803</v>
      </c>
      <c r="J31" s="2" t="s">
        <v>2361</v>
      </c>
      <c r="K31" s="2" t="s">
        <v>2377</v>
      </c>
      <c r="L31" s="8" t="str">
        <f>HYPERLINK("http://slimages.macys.com/is/image/MCY/16149465 ")</f>
        <v xml:space="preserve">http://slimages.macys.com/is/image/MCY/16149465 </v>
      </c>
    </row>
    <row r="32" spans="1:12" ht="24.75" x14ac:dyDescent="0.25">
      <c r="A32" s="5" t="s">
        <v>837</v>
      </c>
      <c r="B32" s="2" t="s">
        <v>838</v>
      </c>
      <c r="C32" s="3">
        <v>1</v>
      </c>
      <c r="D32" s="6">
        <v>58.99</v>
      </c>
      <c r="E32" s="3" t="s">
        <v>839</v>
      </c>
      <c r="F32" s="2" t="s">
        <v>2381</v>
      </c>
      <c r="G32" s="7"/>
      <c r="H32" s="2" t="s">
        <v>2359</v>
      </c>
      <c r="I32" s="2" t="s">
        <v>2803</v>
      </c>
      <c r="J32" s="2" t="s">
        <v>2361</v>
      </c>
      <c r="K32" s="2" t="s">
        <v>2377</v>
      </c>
      <c r="L32" s="8" t="str">
        <f>HYPERLINK("http://slimages.macys.com/is/image/MCY/13827654 ")</f>
        <v xml:space="preserve">http://slimages.macys.com/is/image/MCY/13827654 </v>
      </c>
    </row>
    <row r="33" spans="1:12" ht="24.75" x14ac:dyDescent="0.25">
      <c r="A33" s="5" t="s">
        <v>840</v>
      </c>
      <c r="B33" s="2" t="s">
        <v>841</v>
      </c>
      <c r="C33" s="3">
        <v>1</v>
      </c>
      <c r="D33" s="6">
        <v>49.99</v>
      </c>
      <c r="E33" s="3" t="s">
        <v>842</v>
      </c>
      <c r="F33" s="2" t="s">
        <v>2640</v>
      </c>
      <c r="G33" s="7"/>
      <c r="H33" s="2" t="s">
        <v>2419</v>
      </c>
      <c r="I33" s="2" t="s">
        <v>2632</v>
      </c>
      <c r="J33" s="2" t="s">
        <v>2361</v>
      </c>
      <c r="K33" s="2" t="s">
        <v>2377</v>
      </c>
      <c r="L33" s="8" t="str">
        <f>HYPERLINK("http://slimages.macys.com/is/image/MCY/11549411 ")</f>
        <v xml:space="preserve">http://slimages.macys.com/is/image/MCY/11549411 </v>
      </c>
    </row>
    <row r="34" spans="1:12" ht="24.75" x14ac:dyDescent="0.25">
      <c r="A34" s="5" t="s">
        <v>843</v>
      </c>
      <c r="B34" s="2" t="s">
        <v>844</v>
      </c>
      <c r="C34" s="3">
        <v>1</v>
      </c>
      <c r="D34" s="6">
        <v>29.99</v>
      </c>
      <c r="E34" s="3" t="s">
        <v>845</v>
      </c>
      <c r="F34" s="2" t="s">
        <v>2374</v>
      </c>
      <c r="G34" s="7"/>
      <c r="H34" s="2" t="s">
        <v>2459</v>
      </c>
      <c r="I34" s="2" t="s">
        <v>1937</v>
      </c>
      <c r="J34" s="2" t="s">
        <v>2361</v>
      </c>
      <c r="K34" s="2" t="s">
        <v>2835</v>
      </c>
      <c r="L34" s="8" t="str">
        <f>HYPERLINK("http://slimages.macys.com/is/image/MCY/15124071 ")</f>
        <v xml:space="preserve">http://slimages.macys.com/is/image/MCY/15124071 </v>
      </c>
    </row>
    <row r="35" spans="1:12" ht="24.75" x14ac:dyDescent="0.25">
      <c r="A35" s="5" t="s">
        <v>846</v>
      </c>
      <c r="B35" s="2" t="s">
        <v>847</v>
      </c>
      <c r="C35" s="3">
        <v>1</v>
      </c>
      <c r="D35" s="6">
        <v>29.99</v>
      </c>
      <c r="E35" s="3" t="s">
        <v>848</v>
      </c>
      <c r="F35" s="2" t="s">
        <v>2381</v>
      </c>
      <c r="G35" s="7"/>
      <c r="H35" s="2" t="s">
        <v>2815</v>
      </c>
      <c r="I35" s="2" t="s">
        <v>849</v>
      </c>
      <c r="J35" s="2" t="s">
        <v>2361</v>
      </c>
      <c r="K35" s="2"/>
      <c r="L35" s="8" t="str">
        <f>HYPERLINK("http://slimages.macys.com/is/image/MCY/9727000 ")</f>
        <v xml:space="preserve">http://slimages.macys.com/is/image/MCY/9727000 </v>
      </c>
    </row>
    <row r="36" spans="1:12" ht="24.75" x14ac:dyDescent="0.25">
      <c r="A36" s="5" t="s">
        <v>850</v>
      </c>
      <c r="B36" s="2" t="s">
        <v>851</v>
      </c>
      <c r="C36" s="3">
        <v>1</v>
      </c>
      <c r="D36" s="6">
        <v>69.989999999999995</v>
      </c>
      <c r="E36" s="3" t="s">
        <v>852</v>
      </c>
      <c r="F36" s="2" t="s">
        <v>2418</v>
      </c>
      <c r="G36" s="7"/>
      <c r="H36" s="2" t="s">
        <v>2388</v>
      </c>
      <c r="I36" s="2" t="s">
        <v>2425</v>
      </c>
      <c r="J36" s="2" t="s">
        <v>2361</v>
      </c>
      <c r="K36" s="2" t="s">
        <v>2098</v>
      </c>
      <c r="L36" s="8" t="str">
        <f>HYPERLINK("http://slimages.macys.com/is/image/MCY/2805548 ")</f>
        <v xml:space="preserve">http://slimages.macys.com/is/image/MCY/2805548 </v>
      </c>
    </row>
    <row r="37" spans="1:12" ht="24.75" x14ac:dyDescent="0.25">
      <c r="A37" s="5" t="s">
        <v>853</v>
      </c>
      <c r="B37" s="2" t="s">
        <v>854</v>
      </c>
      <c r="C37" s="3">
        <v>1</v>
      </c>
      <c r="D37" s="6">
        <v>34.99</v>
      </c>
      <c r="E37" s="3" t="s">
        <v>855</v>
      </c>
      <c r="F37" s="2" t="s">
        <v>2797</v>
      </c>
      <c r="G37" s="7" t="s">
        <v>2627</v>
      </c>
      <c r="H37" s="2" t="s">
        <v>2419</v>
      </c>
      <c r="I37" s="2" t="s">
        <v>856</v>
      </c>
      <c r="J37" s="2" t="s">
        <v>2361</v>
      </c>
      <c r="K37" s="2"/>
      <c r="L37" s="8" t="str">
        <f>HYPERLINK("http://slimages.macys.com/is/image/MCY/15787504 ")</f>
        <v xml:space="preserve">http://slimages.macys.com/is/image/MCY/15787504 </v>
      </c>
    </row>
    <row r="38" spans="1:12" ht="24.75" x14ac:dyDescent="0.25">
      <c r="A38" s="5" t="s">
        <v>857</v>
      </c>
      <c r="B38" s="2" t="s">
        <v>858</v>
      </c>
      <c r="C38" s="3">
        <v>1</v>
      </c>
      <c r="D38" s="6">
        <v>28.99</v>
      </c>
      <c r="E38" s="3" t="s">
        <v>859</v>
      </c>
      <c r="F38" s="2" t="s">
        <v>2953</v>
      </c>
      <c r="G38" s="7"/>
      <c r="H38" s="2" t="s">
        <v>2459</v>
      </c>
      <c r="I38" s="2" t="s">
        <v>2547</v>
      </c>
      <c r="J38" s="2" t="s">
        <v>2361</v>
      </c>
      <c r="K38" s="2" t="s">
        <v>2377</v>
      </c>
      <c r="L38" s="8" t="str">
        <f>HYPERLINK("http://slimages.macys.com/is/image/MCY/15009797 ")</f>
        <v xml:space="preserve">http://slimages.macys.com/is/image/MCY/15009797 </v>
      </c>
    </row>
    <row r="39" spans="1:12" ht="36.75" x14ac:dyDescent="0.25">
      <c r="A39" s="5" t="s">
        <v>860</v>
      </c>
      <c r="B39" s="2" t="s">
        <v>861</v>
      </c>
      <c r="C39" s="3">
        <v>1</v>
      </c>
      <c r="D39" s="6">
        <v>29.99</v>
      </c>
      <c r="E39" s="3" t="s">
        <v>862</v>
      </c>
      <c r="F39" s="2" t="s">
        <v>2849</v>
      </c>
      <c r="G39" s="7"/>
      <c r="H39" s="2" t="s">
        <v>2419</v>
      </c>
      <c r="I39" s="2" t="s">
        <v>2406</v>
      </c>
      <c r="J39" s="2" t="s">
        <v>2361</v>
      </c>
      <c r="K39" s="2" t="s">
        <v>863</v>
      </c>
      <c r="L39" s="8" t="str">
        <f>HYPERLINK("http://slimages.macys.com/is/image/MCY/9539706 ")</f>
        <v xml:space="preserve">http://slimages.macys.com/is/image/MCY/9539706 </v>
      </c>
    </row>
    <row r="40" spans="1:12" ht="24.75" x14ac:dyDescent="0.25">
      <c r="A40" s="5" t="s">
        <v>864</v>
      </c>
      <c r="B40" s="2" t="s">
        <v>865</v>
      </c>
      <c r="C40" s="3">
        <v>1</v>
      </c>
      <c r="D40" s="6">
        <v>24.99</v>
      </c>
      <c r="E40" s="3" t="s">
        <v>866</v>
      </c>
      <c r="F40" s="2" t="s">
        <v>2458</v>
      </c>
      <c r="G40" s="7"/>
      <c r="H40" s="2" t="s">
        <v>2419</v>
      </c>
      <c r="I40" s="2" t="s">
        <v>2950</v>
      </c>
      <c r="J40" s="2" t="s">
        <v>2361</v>
      </c>
      <c r="K40" s="2"/>
      <c r="L40" s="8" t="str">
        <f>HYPERLINK("http://slimages.macys.com/is/image/MCY/11926635 ")</f>
        <v xml:space="preserve">http://slimages.macys.com/is/image/MCY/11926635 </v>
      </c>
    </row>
    <row r="41" spans="1:12" ht="24.75" x14ac:dyDescent="0.25">
      <c r="A41" s="5" t="s">
        <v>867</v>
      </c>
      <c r="B41" s="2" t="s">
        <v>868</v>
      </c>
      <c r="C41" s="3">
        <v>1</v>
      </c>
      <c r="D41" s="6">
        <v>14.99</v>
      </c>
      <c r="E41" s="3" t="s">
        <v>869</v>
      </c>
      <c r="F41" s="2"/>
      <c r="G41" s="7" t="s">
        <v>870</v>
      </c>
      <c r="H41" s="2" t="s">
        <v>2459</v>
      </c>
      <c r="I41" s="2" t="s">
        <v>871</v>
      </c>
      <c r="J41" s="2" t="s">
        <v>2789</v>
      </c>
      <c r="K41" s="2" t="s">
        <v>3391</v>
      </c>
      <c r="L41" s="8" t="str">
        <f>HYPERLINK("http://slimages.macys.com/is/image/MCY/15633945 ")</f>
        <v xml:space="preserve">http://slimages.macys.com/is/image/MCY/15633945 </v>
      </c>
    </row>
    <row r="42" spans="1:12" ht="24.75" x14ac:dyDescent="0.25">
      <c r="A42" s="5" t="s">
        <v>872</v>
      </c>
      <c r="B42" s="2" t="s">
        <v>873</v>
      </c>
      <c r="C42" s="3">
        <v>2</v>
      </c>
      <c r="D42" s="6">
        <v>27.99</v>
      </c>
      <c r="E42" s="3" t="s">
        <v>874</v>
      </c>
      <c r="F42" s="2" t="s">
        <v>875</v>
      </c>
      <c r="G42" s="7"/>
      <c r="H42" s="2" t="s">
        <v>2419</v>
      </c>
      <c r="I42" s="2" t="s">
        <v>2406</v>
      </c>
      <c r="J42" s="2" t="s">
        <v>2361</v>
      </c>
      <c r="K42" s="2" t="s">
        <v>1411</v>
      </c>
      <c r="L42" s="8" t="str">
        <f>HYPERLINK("http://slimages.macys.com/is/image/MCY/9534578 ")</f>
        <v xml:space="preserve">http://slimages.macys.com/is/image/MCY/9534578 </v>
      </c>
    </row>
    <row r="43" spans="1:12" ht="24.75" x14ac:dyDescent="0.25">
      <c r="A43" s="5" t="s">
        <v>876</v>
      </c>
      <c r="B43" s="2" t="s">
        <v>877</v>
      </c>
      <c r="C43" s="3">
        <v>1</v>
      </c>
      <c r="D43" s="6">
        <v>22.99</v>
      </c>
      <c r="E43" s="3" t="s">
        <v>878</v>
      </c>
      <c r="F43" s="2" t="s">
        <v>2366</v>
      </c>
      <c r="G43" s="7" t="s">
        <v>879</v>
      </c>
      <c r="H43" s="2" t="s">
        <v>2532</v>
      </c>
      <c r="I43" s="2" t="s">
        <v>2369</v>
      </c>
      <c r="J43" s="2" t="s">
        <v>2361</v>
      </c>
      <c r="K43" s="2" t="s">
        <v>2936</v>
      </c>
      <c r="L43" s="8" t="str">
        <f>HYPERLINK("http://slimages.macys.com/is/image/MCY/2544463 ")</f>
        <v xml:space="preserve">http://slimages.macys.com/is/image/MCY/2544463 </v>
      </c>
    </row>
    <row r="44" spans="1:12" ht="24.75" x14ac:dyDescent="0.25">
      <c r="A44" s="5" t="s">
        <v>880</v>
      </c>
      <c r="B44" s="2" t="s">
        <v>881</v>
      </c>
      <c r="C44" s="3">
        <v>1</v>
      </c>
      <c r="D44" s="6">
        <v>25.99</v>
      </c>
      <c r="E44" s="3">
        <v>4861396</v>
      </c>
      <c r="F44" s="2" t="s">
        <v>2440</v>
      </c>
      <c r="G44" s="7" t="s">
        <v>2382</v>
      </c>
      <c r="H44" s="2" t="s">
        <v>2359</v>
      </c>
      <c r="I44" s="2" t="s">
        <v>2794</v>
      </c>
      <c r="J44" s="2" t="s">
        <v>2361</v>
      </c>
      <c r="K44" s="2" t="s">
        <v>2377</v>
      </c>
      <c r="L44" s="8" t="str">
        <f>HYPERLINK("http://slimages.macys.com/is/image/MCY/15717916 ")</f>
        <v xml:space="preserve">http://slimages.macys.com/is/image/MCY/15717916 </v>
      </c>
    </row>
    <row r="45" spans="1:12" ht="36.75" x14ac:dyDescent="0.25">
      <c r="A45" s="5" t="s">
        <v>882</v>
      </c>
      <c r="B45" s="2" t="s">
        <v>883</v>
      </c>
      <c r="C45" s="3">
        <v>1</v>
      </c>
      <c r="D45" s="6">
        <v>49.99</v>
      </c>
      <c r="E45" s="3" t="s">
        <v>884</v>
      </c>
      <c r="F45" s="2" t="s">
        <v>2793</v>
      </c>
      <c r="G45" s="7" t="s">
        <v>341</v>
      </c>
      <c r="H45" s="2" t="s">
        <v>2879</v>
      </c>
      <c r="I45" s="2" t="s">
        <v>2880</v>
      </c>
      <c r="J45" s="2" t="s">
        <v>2361</v>
      </c>
      <c r="K45" s="2" t="s">
        <v>885</v>
      </c>
      <c r="L45" s="8" t="str">
        <f>HYPERLINK("http://slimages.macys.com/is/image/MCY/2388148 ")</f>
        <v xml:space="preserve">http://slimages.macys.com/is/image/MCY/2388148 </v>
      </c>
    </row>
    <row r="46" spans="1:12" ht="24.75" x14ac:dyDescent="0.25">
      <c r="A46" s="5" t="s">
        <v>886</v>
      </c>
      <c r="B46" s="2" t="s">
        <v>887</v>
      </c>
      <c r="C46" s="3">
        <v>1</v>
      </c>
      <c r="D46" s="6">
        <v>15.99</v>
      </c>
      <c r="E46" s="3" t="s">
        <v>888</v>
      </c>
      <c r="F46" s="2" t="s">
        <v>2374</v>
      </c>
      <c r="G46" s="7"/>
      <c r="H46" s="2" t="s">
        <v>2815</v>
      </c>
      <c r="I46" s="2" t="s">
        <v>849</v>
      </c>
      <c r="J46" s="2" t="s">
        <v>2361</v>
      </c>
      <c r="K46" s="2"/>
      <c r="L46" s="8" t="str">
        <f>HYPERLINK("http://slimages.macys.com/is/image/MCY/15344024 ")</f>
        <v xml:space="preserve">http://slimages.macys.com/is/image/MCY/15344024 </v>
      </c>
    </row>
    <row r="47" spans="1:12" ht="24.75" x14ac:dyDescent="0.25">
      <c r="A47" s="5" t="s">
        <v>889</v>
      </c>
      <c r="B47" s="2" t="s">
        <v>890</v>
      </c>
      <c r="C47" s="3">
        <v>1</v>
      </c>
      <c r="D47" s="6">
        <v>39.99</v>
      </c>
      <c r="E47" s="3" t="s">
        <v>891</v>
      </c>
      <c r="F47" s="2" t="s">
        <v>2374</v>
      </c>
      <c r="G47" s="7"/>
      <c r="H47" s="2" t="s">
        <v>2749</v>
      </c>
      <c r="I47" s="2" t="s">
        <v>2750</v>
      </c>
      <c r="J47" s="2" t="s">
        <v>2361</v>
      </c>
      <c r="K47" s="2"/>
      <c r="L47" s="8" t="str">
        <f>HYPERLINK("http://slimages.macys.com/is/image/MCY/16075502 ")</f>
        <v xml:space="preserve">http://slimages.macys.com/is/image/MCY/16075502 </v>
      </c>
    </row>
    <row r="48" spans="1:12" ht="24.75" x14ac:dyDescent="0.25">
      <c r="A48" s="5" t="s">
        <v>892</v>
      </c>
      <c r="B48" s="2" t="s">
        <v>893</v>
      </c>
      <c r="C48" s="3">
        <v>1</v>
      </c>
      <c r="D48" s="6">
        <v>22.99</v>
      </c>
      <c r="E48" s="3" t="s">
        <v>894</v>
      </c>
      <c r="F48" s="2" t="s">
        <v>2374</v>
      </c>
      <c r="G48" s="7"/>
      <c r="H48" s="2" t="s">
        <v>2359</v>
      </c>
      <c r="I48" s="2" t="s">
        <v>2911</v>
      </c>
      <c r="J48" s="2" t="s">
        <v>2361</v>
      </c>
      <c r="K48" s="2" t="s">
        <v>2377</v>
      </c>
      <c r="L48" s="8" t="str">
        <f>HYPERLINK("http://slimages.macys.com/is/image/MCY/10181919 ")</f>
        <v xml:space="preserve">http://slimages.macys.com/is/image/MCY/10181919 </v>
      </c>
    </row>
    <row r="49" spans="1:12" ht="24.75" x14ac:dyDescent="0.25">
      <c r="A49" s="5" t="s">
        <v>895</v>
      </c>
      <c r="B49" s="2" t="s">
        <v>896</v>
      </c>
      <c r="C49" s="3">
        <v>1</v>
      </c>
      <c r="D49" s="6">
        <v>9.99</v>
      </c>
      <c r="E49" s="3" t="s">
        <v>897</v>
      </c>
      <c r="F49" s="2" t="s">
        <v>2622</v>
      </c>
      <c r="G49" s="7"/>
      <c r="H49" s="2" t="s">
        <v>2459</v>
      </c>
      <c r="I49" s="2" t="s">
        <v>898</v>
      </c>
      <c r="J49" s="2" t="s">
        <v>2361</v>
      </c>
      <c r="K49" s="2" t="s">
        <v>2397</v>
      </c>
      <c r="L49" s="8" t="str">
        <f>HYPERLINK("http://slimages.macys.com/is/image/MCY/14505844 ")</f>
        <v xml:space="preserve">http://slimages.macys.com/is/image/MCY/14505844 </v>
      </c>
    </row>
    <row r="50" spans="1:12" ht="48.75" x14ac:dyDescent="0.25">
      <c r="A50" s="5" t="s">
        <v>899</v>
      </c>
      <c r="B50" s="2" t="s">
        <v>900</v>
      </c>
      <c r="C50" s="3">
        <v>1</v>
      </c>
      <c r="D50" s="6">
        <v>10.99</v>
      </c>
      <c r="E50" s="3" t="s">
        <v>901</v>
      </c>
      <c r="F50" s="2" t="s">
        <v>2381</v>
      </c>
      <c r="G50" s="7" t="s">
        <v>2546</v>
      </c>
      <c r="H50" s="2" t="s">
        <v>2446</v>
      </c>
      <c r="I50" s="2" t="s">
        <v>2547</v>
      </c>
      <c r="J50" s="2" t="s">
        <v>2361</v>
      </c>
      <c r="K50" s="2" t="s">
        <v>902</v>
      </c>
      <c r="L50" s="8" t="str">
        <f>HYPERLINK("http://slimages.macys.com/is/image/MCY/15369308 ")</f>
        <v xml:space="preserve">http://slimages.macys.com/is/image/MCY/15369308 </v>
      </c>
    </row>
    <row r="51" spans="1:12" ht="24.75" x14ac:dyDescent="0.25">
      <c r="A51" s="5" t="s">
        <v>903</v>
      </c>
      <c r="B51" s="2" t="s">
        <v>904</v>
      </c>
      <c r="C51" s="3">
        <v>1</v>
      </c>
      <c r="D51" s="6">
        <v>5.99</v>
      </c>
      <c r="E51" s="3" t="s">
        <v>905</v>
      </c>
      <c r="F51" s="2" t="s">
        <v>2622</v>
      </c>
      <c r="G51" s="7"/>
      <c r="H51" s="2" t="s">
        <v>2446</v>
      </c>
      <c r="I51" s="2" t="s">
        <v>2932</v>
      </c>
      <c r="J51" s="2" t="s">
        <v>2361</v>
      </c>
      <c r="K51" s="2" t="s">
        <v>2448</v>
      </c>
      <c r="L51" s="8" t="str">
        <f>HYPERLINK("http://slimages.macys.com/is/image/MCY/14750378 ")</f>
        <v xml:space="preserve">http://slimages.macys.com/is/image/MCY/14750378 </v>
      </c>
    </row>
    <row r="52" spans="1:12" ht="24.75" x14ac:dyDescent="0.25">
      <c r="A52" s="5" t="s">
        <v>906</v>
      </c>
      <c r="B52" s="2" t="s">
        <v>907</v>
      </c>
      <c r="C52" s="3">
        <v>1</v>
      </c>
      <c r="D52" s="6">
        <v>7.99</v>
      </c>
      <c r="E52" s="3">
        <v>1005083000</v>
      </c>
      <c r="F52" s="2" t="s">
        <v>2358</v>
      </c>
      <c r="G52" s="7" t="s">
        <v>2553</v>
      </c>
      <c r="H52" s="2" t="s">
        <v>2532</v>
      </c>
      <c r="I52" s="2" t="s">
        <v>2369</v>
      </c>
      <c r="J52" s="2" t="s">
        <v>2361</v>
      </c>
      <c r="K52" s="2" t="s">
        <v>2448</v>
      </c>
      <c r="L52" s="8" t="str">
        <f>HYPERLINK("http://slimages.macys.com/is/image/MCY/11709733 ")</f>
        <v xml:space="preserve">http://slimages.macys.com/is/image/MCY/11709733 </v>
      </c>
    </row>
    <row r="53" spans="1:12" ht="24.75" x14ac:dyDescent="0.25">
      <c r="A53" s="5" t="s">
        <v>908</v>
      </c>
      <c r="B53" s="2" t="s">
        <v>909</v>
      </c>
      <c r="C53" s="3">
        <v>1</v>
      </c>
      <c r="D53" s="6">
        <v>29</v>
      </c>
      <c r="E53" s="3" t="s">
        <v>910</v>
      </c>
      <c r="F53" s="2" t="s">
        <v>2418</v>
      </c>
      <c r="G53" s="7"/>
      <c r="H53" s="2" t="s">
        <v>2419</v>
      </c>
      <c r="I53" s="2" t="s">
        <v>911</v>
      </c>
      <c r="J53" s="2"/>
      <c r="K53" s="2"/>
      <c r="L53" s="8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/>
  </sheetViews>
  <sheetFormatPr defaultRowHeight="30" customHeight="1" x14ac:dyDescent="0.25"/>
  <cols>
    <col min="1" max="1" width="14.28515625" customWidth="1"/>
    <col min="2" max="2" width="49.140625" customWidth="1"/>
    <col min="3" max="4" width="15" customWidth="1"/>
    <col min="5" max="5" width="17.140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912</v>
      </c>
      <c r="B2" s="2" t="s">
        <v>913</v>
      </c>
      <c r="C2" s="3">
        <v>1</v>
      </c>
      <c r="D2" s="6">
        <v>244.99</v>
      </c>
      <c r="E2" s="3" t="s">
        <v>914</v>
      </c>
      <c r="F2" s="2" t="s">
        <v>2374</v>
      </c>
      <c r="G2" s="7"/>
      <c r="H2" s="2" t="s">
        <v>2430</v>
      </c>
      <c r="I2" s="2" t="s">
        <v>2406</v>
      </c>
      <c r="J2" s="2" t="s">
        <v>2361</v>
      </c>
      <c r="K2" s="2" t="s">
        <v>915</v>
      </c>
      <c r="L2" s="8" t="str">
        <f>HYPERLINK("http://slimages.macys.com/is/image/MCY/10764787 ")</f>
        <v xml:space="preserve">http://slimages.macys.com/is/image/MCY/10764787 </v>
      </c>
    </row>
    <row r="3" spans="1:12" ht="30" customHeight="1" x14ac:dyDescent="0.25">
      <c r="A3" s="5" t="s">
        <v>916</v>
      </c>
      <c r="B3" s="2" t="s">
        <v>917</v>
      </c>
      <c r="C3" s="3">
        <v>1</v>
      </c>
      <c r="D3" s="6">
        <v>179.99</v>
      </c>
      <c r="E3" s="3" t="s">
        <v>918</v>
      </c>
      <c r="F3" s="2" t="s">
        <v>3238</v>
      </c>
      <c r="G3" s="7"/>
      <c r="H3" s="2" t="s">
        <v>1813</v>
      </c>
      <c r="I3" s="2" t="s">
        <v>1814</v>
      </c>
      <c r="J3" s="2"/>
      <c r="K3" s="2"/>
      <c r="L3" s="8" t="str">
        <f>HYPERLINK("http://slimages.macys.com/is/image/MCY/16608845 ")</f>
        <v xml:space="preserve">http://slimages.macys.com/is/image/MCY/16608845 </v>
      </c>
    </row>
    <row r="4" spans="1:12" ht="30" customHeight="1" x14ac:dyDescent="0.25">
      <c r="A4" s="5" t="s">
        <v>919</v>
      </c>
      <c r="B4" s="2" t="s">
        <v>920</v>
      </c>
      <c r="C4" s="3">
        <v>2</v>
      </c>
      <c r="D4" s="6">
        <v>119.99</v>
      </c>
      <c r="E4" s="3" t="s">
        <v>921</v>
      </c>
      <c r="F4" s="2" t="s">
        <v>2622</v>
      </c>
      <c r="G4" s="7"/>
      <c r="H4" s="2" t="s">
        <v>2359</v>
      </c>
      <c r="I4" s="2" t="s">
        <v>2406</v>
      </c>
      <c r="J4" s="2" t="s">
        <v>2361</v>
      </c>
      <c r="K4" s="2" t="s">
        <v>922</v>
      </c>
      <c r="L4" s="8" t="str">
        <f>HYPERLINK("http://slimages.macys.com/is/image/MCY/9798753 ")</f>
        <v xml:space="preserve">http://slimages.macys.com/is/image/MCY/9798753 </v>
      </c>
    </row>
    <row r="5" spans="1:12" ht="30" customHeight="1" x14ac:dyDescent="0.25">
      <c r="A5" s="5" t="s">
        <v>923</v>
      </c>
      <c r="B5" s="2" t="s">
        <v>924</v>
      </c>
      <c r="C5" s="3">
        <v>3</v>
      </c>
      <c r="D5" s="6">
        <v>119.99</v>
      </c>
      <c r="E5" s="3" t="s">
        <v>925</v>
      </c>
      <c r="F5" s="2" t="s">
        <v>926</v>
      </c>
      <c r="G5" s="7"/>
      <c r="H5" s="2" t="s">
        <v>2984</v>
      </c>
      <c r="I5" s="2" t="s">
        <v>3250</v>
      </c>
      <c r="J5" s="2" t="s">
        <v>2361</v>
      </c>
      <c r="K5" s="2" t="s">
        <v>927</v>
      </c>
      <c r="L5" s="8" t="str">
        <f>HYPERLINK("http://slimages.macys.com/is/image/MCY/16534014 ")</f>
        <v xml:space="preserve">http://slimages.macys.com/is/image/MCY/16534014 </v>
      </c>
    </row>
    <row r="6" spans="1:12" ht="30" customHeight="1" x14ac:dyDescent="0.25">
      <c r="A6" s="5" t="s">
        <v>928</v>
      </c>
      <c r="B6" s="2" t="s">
        <v>929</v>
      </c>
      <c r="C6" s="3">
        <v>1</v>
      </c>
      <c r="D6" s="6">
        <v>62.99</v>
      </c>
      <c r="E6" s="3" t="s">
        <v>930</v>
      </c>
      <c r="F6" s="2"/>
      <c r="G6" s="7"/>
      <c r="H6" s="2" t="s">
        <v>2359</v>
      </c>
      <c r="I6" s="2" t="s">
        <v>2784</v>
      </c>
      <c r="J6" s="2" t="s">
        <v>2361</v>
      </c>
      <c r="K6" s="2" t="s">
        <v>3471</v>
      </c>
      <c r="L6" s="8" t="str">
        <f>HYPERLINK("http://slimages.macys.com/is/image/MCY/10705015 ")</f>
        <v xml:space="preserve">http://slimages.macys.com/is/image/MCY/10705015 </v>
      </c>
    </row>
    <row r="7" spans="1:12" ht="30" customHeight="1" x14ac:dyDescent="0.25">
      <c r="A7" s="5" t="s">
        <v>931</v>
      </c>
      <c r="B7" s="2" t="s">
        <v>932</v>
      </c>
      <c r="C7" s="3">
        <v>1</v>
      </c>
      <c r="D7" s="6">
        <v>83.99</v>
      </c>
      <c r="E7" s="3" t="s">
        <v>933</v>
      </c>
      <c r="F7" s="2" t="s">
        <v>2597</v>
      </c>
      <c r="G7" s="7" t="s">
        <v>2606</v>
      </c>
      <c r="H7" s="2" t="s">
        <v>2359</v>
      </c>
      <c r="I7" s="2" t="s">
        <v>2383</v>
      </c>
      <c r="J7" s="2"/>
      <c r="K7" s="2"/>
      <c r="L7" s="8" t="str">
        <f>HYPERLINK("http://slimages.macys.com/is/image/MCY/11181173 ")</f>
        <v xml:space="preserve">http://slimages.macys.com/is/image/MCY/11181173 </v>
      </c>
    </row>
    <row r="8" spans="1:12" ht="30" customHeight="1" x14ac:dyDescent="0.25">
      <c r="A8" s="5" t="s">
        <v>934</v>
      </c>
      <c r="B8" s="2" t="s">
        <v>935</v>
      </c>
      <c r="C8" s="3">
        <v>1</v>
      </c>
      <c r="D8" s="6">
        <v>89.99</v>
      </c>
      <c r="E8" s="3" t="s">
        <v>936</v>
      </c>
      <c r="F8" s="2" t="s">
        <v>2374</v>
      </c>
      <c r="G8" s="7"/>
      <c r="H8" s="2" t="s">
        <v>2430</v>
      </c>
      <c r="I8" s="2" t="s">
        <v>2406</v>
      </c>
      <c r="J8" s="2" t="s">
        <v>2361</v>
      </c>
      <c r="K8" s="2"/>
      <c r="L8" s="8" t="str">
        <f>HYPERLINK("http://slimages.macys.com/is/image/MCY/8951291 ")</f>
        <v xml:space="preserve">http://slimages.macys.com/is/image/MCY/8951291 </v>
      </c>
    </row>
    <row r="9" spans="1:12" ht="30" customHeight="1" x14ac:dyDescent="0.25">
      <c r="A9" s="5" t="s">
        <v>937</v>
      </c>
      <c r="B9" s="2" t="s">
        <v>938</v>
      </c>
      <c r="C9" s="3">
        <v>1</v>
      </c>
      <c r="D9" s="6">
        <v>70.989999999999995</v>
      </c>
      <c r="E9" s="3" t="s">
        <v>939</v>
      </c>
      <c r="F9" s="2" t="s">
        <v>2440</v>
      </c>
      <c r="G9" s="7" t="s">
        <v>2411</v>
      </c>
      <c r="H9" s="2" t="s">
        <v>2412</v>
      </c>
      <c r="I9" s="2" t="s">
        <v>2788</v>
      </c>
      <c r="J9" s="2" t="s">
        <v>2789</v>
      </c>
      <c r="K9" s="2" t="s">
        <v>940</v>
      </c>
      <c r="L9" s="8" t="str">
        <f>HYPERLINK("http://slimages.macys.com/is/image/MCY/11798920 ")</f>
        <v xml:space="preserve">http://slimages.macys.com/is/image/MCY/11798920 </v>
      </c>
    </row>
    <row r="10" spans="1:12" ht="30" customHeight="1" x14ac:dyDescent="0.25">
      <c r="A10" s="5" t="s">
        <v>941</v>
      </c>
      <c r="B10" s="2" t="s">
        <v>942</v>
      </c>
      <c r="C10" s="3">
        <v>1</v>
      </c>
      <c r="D10" s="6">
        <v>79.989999999999995</v>
      </c>
      <c r="E10" s="3" t="s">
        <v>943</v>
      </c>
      <c r="F10" s="2" t="s">
        <v>2440</v>
      </c>
      <c r="G10" s="7"/>
      <c r="H10" s="2" t="s">
        <v>2359</v>
      </c>
      <c r="I10" s="2" t="s">
        <v>2406</v>
      </c>
      <c r="J10" s="2" t="s">
        <v>2361</v>
      </c>
      <c r="K10" s="2" t="s">
        <v>944</v>
      </c>
      <c r="L10" s="8" t="str">
        <f>HYPERLINK("http://slimages.macys.com/is/image/MCY/9188021 ")</f>
        <v xml:space="preserve">http://slimages.macys.com/is/image/MCY/9188021 </v>
      </c>
    </row>
    <row r="11" spans="1:12" ht="30" customHeight="1" x14ac:dyDescent="0.25">
      <c r="A11" s="5" t="s">
        <v>945</v>
      </c>
      <c r="B11" s="2" t="s">
        <v>946</v>
      </c>
      <c r="C11" s="3">
        <v>1</v>
      </c>
      <c r="D11" s="6">
        <v>79.989999999999995</v>
      </c>
      <c r="E11" s="3" t="s">
        <v>947</v>
      </c>
      <c r="F11" s="2" t="s">
        <v>2374</v>
      </c>
      <c r="G11" s="7" t="s">
        <v>2977</v>
      </c>
      <c r="H11" s="2" t="s">
        <v>2465</v>
      </c>
      <c r="I11" s="2" t="s">
        <v>948</v>
      </c>
      <c r="J11" s="2" t="s">
        <v>2361</v>
      </c>
      <c r="K11" s="2" t="s">
        <v>949</v>
      </c>
      <c r="L11" s="8" t="str">
        <f>HYPERLINK("http://slimages.macys.com/is/image/MCY/11473841 ")</f>
        <v xml:space="preserve">http://slimages.macys.com/is/image/MCY/11473841 </v>
      </c>
    </row>
    <row r="12" spans="1:12" ht="30" customHeight="1" x14ac:dyDescent="0.25">
      <c r="A12" s="5" t="s">
        <v>950</v>
      </c>
      <c r="B12" s="2" t="s">
        <v>951</v>
      </c>
      <c r="C12" s="3">
        <v>1</v>
      </c>
      <c r="D12" s="6">
        <v>69.989999999999995</v>
      </c>
      <c r="E12" s="3" t="s">
        <v>952</v>
      </c>
      <c r="F12" s="2" t="s">
        <v>2381</v>
      </c>
      <c r="G12" s="7"/>
      <c r="H12" s="2" t="s">
        <v>2473</v>
      </c>
      <c r="I12" s="2" t="s">
        <v>2406</v>
      </c>
      <c r="J12" s="2" t="s">
        <v>2361</v>
      </c>
      <c r="K12" s="2" t="s">
        <v>2508</v>
      </c>
      <c r="L12" s="8" t="str">
        <f>HYPERLINK("http://slimages.macys.com/is/image/MCY/10764977 ")</f>
        <v xml:space="preserve">http://slimages.macys.com/is/image/MCY/10764977 </v>
      </c>
    </row>
    <row r="13" spans="1:12" ht="30" customHeight="1" x14ac:dyDescent="0.25">
      <c r="A13" s="5" t="s">
        <v>953</v>
      </c>
      <c r="B13" s="2" t="s">
        <v>954</v>
      </c>
      <c r="C13" s="3">
        <v>2</v>
      </c>
      <c r="D13" s="6">
        <v>79.989999999999995</v>
      </c>
      <c r="E13" s="3" t="s">
        <v>955</v>
      </c>
      <c r="F13" s="2" t="s">
        <v>2768</v>
      </c>
      <c r="G13" s="7"/>
      <c r="H13" s="2" t="s">
        <v>2473</v>
      </c>
      <c r="I13" s="2" t="s">
        <v>3181</v>
      </c>
      <c r="J13" s="2" t="s">
        <v>2361</v>
      </c>
      <c r="K13" s="2"/>
      <c r="L13" s="8" t="str">
        <f>HYPERLINK("http://slimages.macys.com/is/image/MCY/10035084 ")</f>
        <v xml:space="preserve">http://slimages.macys.com/is/image/MCY/10035084 </v>
      </c>
    </row>
    <row r="14" spans="1:12" ht="30" customHeight="1" x14ac:dyDescent="0.25">
      <c r="A14" s="5" t="s">
        <v>956</v>
      </c>
      <c r="B14" s="2" t="s">
        <v>957</v>
      </c>
      <c r="C14" s="3">
        <v>1</v>
      </c>
      <c r="D14" s="6">
        <v>67.989999999999995</v>
      </c>
      <c r="E14" s="3" t="s">
        <v>958</v>
      </c>
      <c r="F14" s="2" t="s">
        <v>2374</v>
      </c>
      <c r="G14" s="7"/>
      <c r="H14" s="2" t="s">
        <v>2419</v>
      </c>
      <c r="I14" s="2" t="s">
        <v>3032</v>
      </c>
      <c r="J14" s="2" t="s">
        <v>2361</v>
      </c>
      <c r="K14" s="2" t="s">
        <v>2377</v>
      </c>
      <c r="L14" s="8" t="str">
        <f>HYPERLINK("http://slimages.macys.com/is/image/MCY/13062972 ")</f>
        <v xml:space="preserve">http://slimages.macys.com/is/image/MCY/13062972 </v>
      </c>
    </row>
    <row r="15" spans="1:12" ht="30" customHeight="1" x14ac:dyDescent="0.25">
      <c r="A15" s="5" t="s">
        <v>959</v>
      </c>
      <c r="B15" s="2" t="s">
        <v>960</v>
      </c>
      <c r="C15" s="3">
        <v>1</v>
      </c>
      <c r="D15" s="6">
        <v>69.989999999999995</v>
      </c>
      <c r="E15" s="3">
        <v>100002777</v>
      </c>
      <c r="F15" s="2" t="s">
        <v>2401</v>
      </c>
      <c r="G15" s="7" t="s">
        <v>1509</v>
      </c>
      <c r="H15" s="2" t="s">
        <v>2388</v>
      </c>
      <c r="I15" s="2" t="s">
        <v>1371</v>
      </c>
      <c r="J15" s="2" t="s">
        <v>2361</v>
      </c>
      <c r="K15" s="2" t="s">
        <v>961</v>
      </c>
      <c r="L15" s="8" t="str">
        <f>HYPERLINK("http://slimages.macys.com/is/image/MCY/9019696 ")</f>
        <v xml:space="preserve">http://slimages.macys.com/is/image/MCY/9019696 </v>
      </c>
    </row>
    <row r="16" spans="1:12" ht="30" customHeight="1" x14ac:dyDescent="0.25">
      <c r="A16" s="5" t="s">
        <v>962</v>
      </c>
      <c r="B16" s="2" t="s">
        <v>963</v>
      </c>
      <c r="C16" s="3">
        <v>1</v>
      </c>
      <c r="D16" s="6">
        <v>44.99</v>
      </c>
      <c r="E16" s="3" t="s">
        <v>964</v>
      </c>
      <c r="F16" s="2" t="s">
        <v>2394</v>
      </c>
      <c r="G16" s="7" t="s">
        <v>3039</v>
      </c>
      <c r="H16" s="2" t="s">
        <v>2419</v>
      </c>
      <c r="I16" s="2" t="s">
        <v>2406</v>
      </c>
      <c r="J16" s="2" t="s">
        <v>2361</v>
      </c>
      <c r="K16" s="2" t="s">
        <v>1142</v>
      </c>
      <c r="L16" s="8" t="str">
        <f>HYPERLINK("http://slimages.macys.com/is/image/MCY/16845400 ")</f>
        <v xml:space="preserve">http://slimages.macys.com/is/image/MCY/16845400 </v>
      </c>
    </row>
    <row r="17" spans="1:12" ht="30" customHeight="1" x14ac:dyDescent="0.25">
      <c r="A17" s="5" t="s">
        <v>965</v>
      </c>
      <c r="B17" s="2" t="s">
        <v>966</v>
      </c>
      <c r="C17" s="3">
        <v>1</v>
      </c>
      <c r="D17" s="6">
        <v>79.989999999999995</v>
      </c>
      <c r="E17" s="3" t="s">
        <v>967</v>
      </c>
      <c r="F17" s="2" t="s">
        <v>2366</v>
      </c>
      <c r="G17" s="7"/>
      <c r="H17" s="2" t="s">
        <v>2388</v>
      </c>
      <c r="I17" s="2" t="s">
        <v>2389</v>
      </c>
      <c r="J17" s="2" t="s">
        <v>2361</v>
      </c>
      <c r="K17" s="2" t="s">
        <v>2098</v>
      </c>
      <c r="L17" s="8" t="str">
        <f>HYPERLINK("http://slimages.macys.com/is/image/MCY/13966862 ")</f>
        <v xml:space="preserve">http://slimages.macys.com/is/image/MCY/13966862 </v>
      </c>
    </row>
    <row r="18" spans="1:12" ht="30" customHeight="1" x14ac:dyDescent="0.25">
      <c r="A18" s="5" t="s">
        <v>968</v>
      </c>
      <c r="B18" s="2" t="s">
        <v>969</v>
      </c>
      <c r="C18" s="3">
        <v>1</v>
      </c>
      <c r="D18" s="6">
        <v>79.989999999999995</v>
      </c>
      <c r="E18" s="3" t="s">
        <v>970</v>
      </c>
      <c r="F18" s="2" t="s">
        <v>2374</v>
      </c>
      <c r="G18" s="7"/>
      <c r="H18" s="2" t="s">
        <v>2388</v>
      </c>
      <c r="I18" s="2" t="s">
        <v>2425</v>
      </c>
      <c r="J18" s="2" t="s">
        <v>2361</v>
      </c>
      <c r="K18" s="2" t="s">
        <v>2397</v>
      </c>
      <c r="L18" s="8" t="str">
        <f>HYPERLINK("http://slimages.macys.com/is/image/MCY/9320893 ")</f>
        <v xml:space="preserve">http://slimages.macys.com/is/image/MCY/9320893 </v>
      </c>
    </row>
    <row r="19" spans="1:12" ht="30" customHeight="1" x14ac:dyDescent="0.25">
      <c r="A19" s="5" t="s">
        <v>971</v>
      </c>
      <c r="B19" s="2" t="s">
        <v>972</v>
      </c>
      <c r="C19" s="3">
        <v>1</v>
      </c>
      <c r="D19" s="6">
        <v>59.99</v>
      </c>
      <c r="E19" s="3" t="s">
        <v>973</v>
      </c>
      <c r="F19" s="2" t="s">
        <v>2440</v>
      </c>
      <c r="G19" s="7"/>
      <c r="H19" s="2" t="s">
        <v>2359</v>
      </c>
      <c r="I19" s="2" t="s">
        <v>2406</v>
      </c>
      <c r="J19" s="2" t="s">
        <v>2361</v>
      </c>
      <c r="K19" s="2" t="s">
        <v>974</v>
      </c>
      <c r="L19" s="8" t="str">
        <f>HYPERLINK("http://slimages.macys.com/is/image/MCY/9492570 ")</f>
        <v xml:space="preserve">http://slimages.macys.com/is/image/MCY/9492570 </v>
      </c>
    </row>
    <row r="20" spans="1:12" ht="30" customHeight="1" x14ac:dyDescent="0.25">
      <c r="A20" s="5" t="s">
        <v>1513</v>
      </c>
      <c r="B20" s="2" t="s">
        <v>975</v>
      </c>
      <c r="C20" s="3">
        <v>1</v>
      </c>
      <c r="D20" s="6">
        <v>39.99</v>
      </c>
      <c r="E20" s="3" t="s">
        <v>1515</v>
      </c>
      <c r="F20" s="2" t="s">
        <v>1400</v>
      </c>
      <c r="G20" s="7" t="s">
        <v>3039</v>
      </c>
      <c r="H20" s="2" t="s">
        <v>2419</v>
      </c>
      <c r="I20" s="2" t="s">
        <v>2950</v>
      </c>
      <c r="J20" s="2" t="s">
        <v>2361</v>
      </c>
      <c r="K20" s="2"/>
      <c r="L20" s="8" t="str">
        <f>HYPERLINK("http://slimages.macys.com/is/image/MCY/16008352 ")</f>
        <v xml:space="preserve">http://slimages.macys.com/is/image/MCY/16008352 </v>
      </c>
    </row>
    <row r="21" spans="1:12" ht="30" customHeight="1" x14ac:dyDescent="0.25">
      <c r="A21" s="5" t="s">
        <v>976</v>
      </c>
      <c r="B21" s="2" t="s">
        <v>977</v>
      </c>
      <c r="C21" s="3">
        <v>1</v>
      </c>
      <c r="D21" s="6">
        <v>44.99</v>
      </c>
      <c r="E21" s="3" t="s">
        <v>978</v>
      </c>
      <c r="F21" s="2"/>
      <c r="G21" s="7" t="s">
        <v>1509</v>
      </c>
      <c r="H21" s="2" t="s">
        <v>2419</v>
      </c>
      <c r="I21" s="2" t="s">
        <v>1366</v>
      </c>
      <c r="J21" s="2" t="s">
        <v>2789</v>
      </c>
      <c r="K21" s="2" t="s">
        <v>3214</v>
      </c>
      <c r="L21" s="8" t="str">
        <f>HYPERLINK("http://slimages.macys.com/is/image/MCY/8523087 ")</f>
        <v xml:space="preserve">http://slimages.macys.com/is/image/MCY/8523087 </v>
      </c>
    </row>
    <row r="22" spans="1:12" ht="30" customHeight="1" x14ac:dyDescent="0.25">
      <c r="A22" s="5" t="s">
        <v>979</v>
      </c>
      <c r="B22" s="2" t="s">
        <v>980</v>
      </c>
      <c r="C22" s="3">
        <v>1</v>
      </c>
      <c r="D22" s="6">
        <v>59.99</v>
      </c>
      <c r="E22" s="3" t="s">
        <v>981</v>
      </c>
      <c r="F22" s="2" t="s">
        <v>2768</v>
      </c>
      <c r="G22" s="7"/>
      <c r="H22" s="2" t="s">
        <v>2473</v>
      </c>
      <c r="I22" s="2" t="s">
        <v>3181</v>
      </c>
      <c r="J22" s="2" t="s">
        <v>2361</v>
      </c>
      <c r="K22" s="2" t="s">
        <v>982</v>
      </c>
      <c r="L22" s="8" t="str">
        <f>HYPERLINK("http://slimages.macys.com/is/image/MCY/10035084 ")</f>
        <v xml:space="preserve">http://slimages.macys.com/is/image/MCY/10035084 </v>
      </c>
    </row>
    <row r="23" spans="1:12" ht="30" customHeight="1" x14ac:dyDescent="0.25">
      <c r="A23" s="5" t="s">
        <v>983</v>
      </c>
      <c r="B23" s="2" t="s">
        <v>984</v>
      </c>
      <c r="C23" s="3">
        <v>2</v>
      </c>
      <c r="D23" s="6">
        <v>79.989999999999995</v>
      </c>
      <c r="E23" s="3">
        <v>10004175700</v>
      </c>
      <c r="F23" s="2" t="s">
        <v>2768</v>
      </c>
      <c r="G23" s="7" t="s">
        <v>3039</v>
      </c>
      <c r="H23" s="2" t="s">
        <v>2388</v>
      </c>
      <c r="I23" s="2" t="s">
        <v>3217</v>
      </c>
      <c r="J23" s="2" t="s">
        <v>2361</v>
      </c>
      <c r="K23" s="2"/>
      <c r="L23" s="8" t="str">
        <f>HYPERLINK("http://slimages.macys.com/is/image/MCY/12072108 ")</f>
        <v xml:space="preserve">http://slimages.macys.com/is/image/MCY/12072108 </v>
      </c>
    </row>
    <row r="24" spans="1:12" ht="30" customHeight="1" x14ac:dyDescent="0.25">
      <c r="A24" s="5" t="s">
        <v>3026</v>
      </c>
      <c r="B24" s="2" t="s">
        <v>985</v>
      </c>
      <c r="C24" s="3">
        <v>2</v>
      </c>
      <c r="D24" s="6">
        <v>41.99</v>
      </c>
      <c r="E24" s="3" t="s">
        <v>3027</v>
      </c>
      <c r="F24" s="2" t="s">
        <v>2374</v>
      </c>
      <c r="G24" s="7" t="s">
        <v>3028</v>
      </c>
      <c r="H24" s="2" t="s">
        <v>2412</v>
      </c>
      <c r="I24" s="2" t="s">
        <v>2788</v>
      </c>
      <c r="J24" s="2" t="s">
        <v>2361</v>
      </c>
      <c r="K24" s="2" t="s">
        <v>2656</v>
      </c>
      <c r="L24" s="8" t="str">
        <f>HYPERLINK("http://slimages.macys.com/is/image/MCY/11798747 ")</f>
        <v xml:space="preserve">http://slimages.macys.com/is/image/MCY/11798747 </v>
      </c>
    </row>
    <row r="25" spans="1:12" ht="30" customHeight="1" x14ac:dyDescent="0.25">
      <c r="A25" s="5" t="s">
        <v>986</v>
      </c>
      <c r="B25" s="2" t="s">
        <v>987</v>
      </c>
      <c r="C25" s="3">
        <v>2</v>
      </c>
      <c r="D25" s="6">
        <v>79.989999999999995</v>
      </c>
      <c r="E25" s="3" t="s">
        <v>988</v>
      </c>
      <c r="F25" s="2" t="s">
        <v>2768</v>
      </c>
      <c r="G25" s="7"/>
      <c r="H25" s="2" t="s">
        <v>2388</v>
      </c>
      <c r="I25" s="2" t="s">
        <v>3217</v>
      </c>
      <c r="J25" s="2" t="s">
        <v>2361</v>
      </c>
      <c r="K25" s="2"/>
      <c r="L25" s="8" t="str">
        <f>HYPERLINK("http://slimages.macys.com/is/image/MCY/12072110 ")</f>
        <v xml:space="preserve">http://slimages.macys.com/is/image/MCY/12072110 </v>
      </c>
    </row>
    <row r="26" spans="1:12" ht="30" customHeight="1" x14ac:dyDescent="0.25">
      <c r="A26" s="5" t="s">
        <v>989</v>
      </c>
      <c r="B26" s="2" t="s">
        <v>990</v>
      </c>
      <c r="C26" s="3">
        <v>1</v>
      </c>
      <c r="D26" s="6">
        <v>49.99</v>
      </c>
      <c r="E26" s="3">
        <v>100071374</v>
      </c>
      <c r="F26" s="2" t="s">
        <v>2374</v>
      </c>
      <c r="G26" s="7"/>
      <c r="H26" s="2" t="s">
        <v>3433</v>
      </c>
      <c r="I26" s="2" t="s">
        <v>991</v>
      </c>
      <c r="J26" s="2" t="s">
        <v>2361</v>
      </c>
      <c r="K26" s="2" t="s">
        <v>992</v>
      </c>
      <c r="L26" s="8" t="str">
        <f>HYPERLINK("http://slimages.macys.com/is/image/MCY/14021214 ")</f>
        <v xml:space="preserve">http://slimages.macys.com/is/image/MCY/14021214 </v>
      </c>
    </row>
    <row r="27" spans="1:12" ht="30" customHeight="1" x14ac:dyDescent="0.25">
      <c r="A27" s="5" t="s">
        <v>993</v>
      </c>
      <c r="B27" s="2" t="s">
        <v>994</v>
      </c>
      <c r="C27" s="3">
        <v>3</v>
      </c>
      <c r="D27" s="6">
        <v>39.99</v>
      </c>
      <c r="E27" s="3" t="s">
        <v>995</v>
      </c>
      <c r="F27" s="2" t="s">
        <v>2793</v>
      </c>
      <c r="G27" s="7"/>
      <c r="H27" s="2" t="s">
        <v>2419</v>
      </c>
      <c r="I27" s="2" t="s">
        <v>2406</v>
      </c>
      <c r="J27" s="2" t="s">
        <v>2361</v>
      </c>
      <c r="K27" s="2" t="s">
        <v>1763</v>
      </c>
      <c r="L27" s="8" t="str">
        <f>HYPERLINK("http://slimages.macys.com/is/image/MCY/8064912 ")</f>
        <v xml:space="preserve">http://slimages.macys.com/is/image/MCY/8064912 </v>
      </c>
    </row>
    <row r="28" spans="1:12" ht="30" customHeight="1" x14ac:dyDescent="0.25">
      <c r="A28" s="5" t="s">
        <v>996</v>
      </c>
      <c r="B28" s="2" t="s">
        <v>997</v>
      </c>
      <c r="C28" s="3">
        <v>1</v>
      </c>
      <c r="D28" s="6">
        <v>59.99</v>
      </c>
      <c r="E28" s="3">
        <v>10004845700</v>
      </c>
      <c r="F28" s="2" t="s">
        <v>2424</v>
      </c>
      <c r="G28" s="7" t="s">
        <v>1509</v>
      </c>
      <c r="H28" s="2" t="s">
        <v>3433</v>
      </c>
      <c r="I28" s="2" t="s">
        <v>991</v>
      </c>
      <c r="J28" s="2" t="s">
        <v>2361</v>
      </c>
      <c r="K28" s="2"/>
      <c r="L28" s="8" t="str">
        <f>HYPERLINK("http://slimages.macys.com/is/image/MCY/11975502 ")</f>
        <v xml:space="preserve">http://slimages.macys.com/is/image/MCY/11975502 </v>
      </c>
    </row>
    <row r="29" spans="1:12" ht="30" customHeight="1" x14ac:dyDescent="0.25">
      <c r="A29" s="5" t="s">
        <v>998</v>
      </c>
      <c r="B29" s="2" t="s">
        <v>999</v>
      </c>
      <c r="C29" s="3">
        <v>1</v>
      </c>
      <c r="D29" s="6">
        <v>29.99</v>
      </c>
      <c r="E29" s="3" t="s">
        <v>1000</v>
      </c>
      <c r="F29" s="2" t="s">
        <v>2440</v>
      </c>
      <c r="G29" s="7"/>
      <c r="H29" s="2" t="s">
        <v>2419</v>
      </c>
      <c r="I29" s="2" t="s">
        <v>2798</v>
      </c>
      <c r="J29" s="2" t="s">
        <v>2361</v>
      </c>
      <c r="K29" s="2" t="s">
        <v>1001</v>
      </c>
      <c r="L29" s="8" t="str">
        <f>HYPERLINK("http://slimages.macys.com/is/image/MCY/9169530 ")</f>
        <v xml:space="preserve">http://slimages.macys.com/is/image/MCY/9169530 </v>
      </c>
    </row>
    <row r="30" spans="1:12" ht="30" customHeight="1" x14ac:dyDescent="0.25">
      <c r="A30" s="5" t="s">
        <v>1002</v>
      </c>
      <c r="B30" s="2" t="s">
        <v>1003</v>
      </c>
      <c r="C30" s="3">
        <v>1</v>
      </c>
      <c r="D30" s="6">
        <v>34.99</v>
      </c>
      <c r="E30" s="3" t="s">
        <v>1004</v>
      </c>
      <c r="F30" s="2" t="s">
        <v>2394</v>
      </c>
      <c r="G30" s="7" t="s">
        <v>2518</v>
      </c>
      <c r="H30" s="2" t="s">
        <v>2419</v>
      </c>
      <c r="I30" s="2" t="s">
        <v>1005</v>
      </c>
      <c r="J30" s="2"/>
      <c r="K30" s="2"/>
      <c r="L30" s="8" t="str">
        <f>HYPERLINK("http://slimages.macys.com/is/image/MCY/16699857 ")</f>
        <v xml:space="preserve">http://slimages.macys.com/is/image/MCY/16699857 </v>
      </c>
    </row>
    <row r="31" spans="1:12" ht="30" customHeight="1" x14ac:dyDescent="0.25">
      <c r="A31" s="5" t="s">
        <v>1006</v>
      </c>
      <c r="B31" s="2" t="s">
        <v>1007</v>
      </c>
      <c r="C31" s="3">
        <v>1</v>
      </c>
      <c r="D31" s="6">
        <v>34.99</v>
      </c>
      <c r="E31" s="3" t="s">
        <v>1008</v>
      </c>
      <c r="F31" s="2" t="s">
        <v>2488</v>
      </c>
      <c r="G31" s="7"/>
      <c r="H31" s="2" t="s">
        <v>2419</v>
      </c>
      <c r="I31" s="2" t="s">
        <v>2406</v>
      </c>
      <c r="J31" s="2" t="s">
        <v>2361</v>
      </c>
      <c r="K31" s="2"/>
      <c r="L31" s="8" t="str">
        <f>HYPERLINK("http://slimages.macys.com/is/image/MCY/16421124 ")</f>
        <v xml:space="preserve">http://slimages.macys.com/is/image/MCY/16421124 </v>
      </c>
    </row>
    <row r="32" spans="1:12" ht="30" customHeight="1" x14ac:dyDescent="0.25">
      <c r="A32" s="5" t="s">
        <v>1009</v>
      </c>
      <c r="B32" s="2" t="s">
        <v>1010</v>
      </c>
      <c r="C32" s="3">
        <v>1</v>
      </c>
      <c r="D32" s="6">
        <v>34.99</v>
      </c>
      <c r="E32" s="3" t="s">
        <v>1011</v>
      </c>
      <c r="F32" s="2" t="s">
        <v>2374</v>
      </c>
      <c r="G32" s="7"/>
      <c r="H32" s="2" t="s">
        <v>2419</v>
      </c>
      <c r="I32" s="2" t="s">
        <v>2406</v>
      </c>
      <c r="J32" s="2" t="s">
        <v>2361</v>
      </c>
      <c r="K32" s="2" t="s">
        <v>3060</v>
      </c>
      <c r="L32" s="8" t="str">
        <f>HYPERLINK("http://slimages.macys.com/is/image/MCY/9192776 ")</f>
        <v xml:space="preserve">http://slimages.macys.com/is/image/MCY/9192776 </v>
      </c>
    </row>
    <row r="33" spans="1:12" ht="30" customHeight="1" x14ac:dyDescent="0.25">
      <c r="A33" s="5" t="s">
        <v>1012</v>
      </c>
      <c r="B33" s="2" t="s">
        <v>1013</v>
      </c>
      <c r="C33" s="3">
        <v>1</v>
      </c>
      <c r="D33" s="6">
        <v>39.99</v>
      </c>
      <c r="E33" s="3" t="s">
        <v>1014</v>
      </c>
      <c r="F33" s="2" t="s">
        <v>2605</v>
      </c>
      <c r="G33" s="7"/>
      <c r="H33" s="2" t="s">
        <v>2473</v>
      </c>
      <c r="I33" s="2" t="s">
        <v>1015</v>
      </c>
      <c r="J33" s="2" t="s">
        <v>2361</v>
      </c>
      <c r="K33" s="2" t="s">
        <v>1016</v>
      </c>
      <c r="L33" s="8" t="str">
        <f>HYPERLINK("http://slimages.macys.com/is/image/MCY/16059461 ")</f>
        <v xml:space="preserve">http://slimages.macys.com/is/image/MCY/16059461 </v>
      </c>
    </row>
    <row r="34" spans="1:12" ht="30" customHeight="1" x14ac:dyDescent="0.25">
      <c r="A34" s="5" t="s">
        <v>1017</v>
      </c>
      <c r="B34" s="2" t="s">
        <v>1018</v>
      </c>
      <c r="C34" s="3">
        <v>1</v>
      </c>
      <c r="D34" s="6">
        <v>48.99</v>
      </c>
      <c r="E34" s="3" t="s">
        <v>1019</v>
      </c>
      <c r="F34" s="2"/>
      <c r="G34" s="7"/>
      <c r="H34" s="2" t="s">
        <v>2359</v>
      </c>
      <c r="I34" s="2" t="s">
        <v>2383</v>
      </c>
      <c r="J34" s="2" t="s">
        <v>2361</v>
      </c>
      <c r="K34" s="2" t="s">
        <v>2831</v>
      </c>
      <c r="L34" s="8" t="str">
        <f>HYPERLINK("http://slimages.macys.com/is/image/MCY/10974209 ")</f>
        <v xml:space="preserve">http://slimages.macys.com/is/image/MCY/10974209 </v>
      </c>
    </row>
    <row r="35" spans="1:12" ht="30" customHeight="1" x14ac:dyDescent="0.25">
      <c r="A35" s="5" t="s">
        <v>1020</v>
      </c>
      <c r="B35" s="2" t="s">
        <v>1021</v>
      </c>
      <c r="C35" s="3">
        <v>1</v>
      </c>
      <c r="D35" s="6">
        <v>59.99</v>
      </c>
      <c r="E35" s="3" t="s">
        <v>1022</v>
      </c>
      <c r="F35" s="2" t="s">
        <v>2358</v>
      </c>
      <c r="G35" s="7"/>
      <c r="H35" s="2" t="s">
        <v>2675</v>
      </c>
      <c r="I35" s="2" t="s">
        <v>2676</v>
      </c>
      <c r="J35" s="2" t="s">
        <v>2361</v>
      </c>
      <c r="K35" s="2" t="s">
        <v>2397</v>
      </c>
      <c r="L35" s="8" t="str">
        <f>HYPERLINK("http://slimages.macys.com/is/image/MCY/8432521 ")</f>
        <v xml:space="preserve">http://slimages.macys.com/is/image/MCY/8432521 </v>
      </c>
    </row>
    <row r="36" spans="1:12" ht="30" customHeight="1" x14ac:dyDescent="0.25">
      <c r="A36" s="5" t="s">
        <v>1023</v>
      </c>
      <c r="B36" s="2" t="s">
        <v>1024</v>
      </c>
      <c r="C36" s="3">
        <v>1</v>
      </c>
      <c r="D36" s="6">
        <v>27.99</v>
      </c>
      <c r="E36" s="3" t="s">
        <v>1025</v>
      </c>
      <c r="F36" s="2" t="s">
        <v>2597</v>
      </c>
      <c r="G36" s="7"/>
      <c r="H36" s="2" t="s">
        <v>2419</v>
      </c>
      <c r="I36" s="2" t="s">
        <v>2406</v>
      </c>
      <c r="J36" s="2" t="s">
        <v>2361</v>
      </c>
      <c r="K36" s="2" t="s">
        <v>2134</v>
      </c>
      <c r="L36" s="8" t="str">
        <f>HYPERLINK("http://slimages.macys.com/is/image/MCY/9614138 ")</f>
        <v xml:space="preserve">http://slimages.macys.com/is/image/MCY/9614138 </v>
      </c>
    </row>
    <row r="37" spans="1:12" ht="30" customHeight="1" x14ac:dyDescent="0.25">
      <c r="A37" s="5" t="s">
        <v>3221</v>
      </c>
      <c r="B37" s="2" t="s">
        <v>1026</v>
      </c>
      <c r="C37" s="3">
        <v>5</v>
      </c>
      <c r="D37" s="6">
        <v>29.99</v>
      </c>
      <c r="E37" s="3">
        <v>1005239600</v>
      </c>
      <c r="F37" s="2" t="s">
        <v>2440</v>
      </c>
      <c r="G37" s="7"/>
      <c r="H37" s="2" t="s">
        <v>2815</v>
      </c>
      <c r="I37" s="2" t="s">
        <v>3210</v>
      </c>
      <c r="J37" s="2" t="s">
        <v>2789</v>
      </c>
      <c r="K37" s="2" t="s">
        <v>2377</v>
      </c>
      <c r="L37" s="8" t="str">
        <f>HYPERLINK("http://slimages.macys.com/is/image/MCY/10625674 ")</f>
        <v xml:space="preserve">http://slimages.macys.com/is/image/MCY/10625674 </v>
      </c>
    </row>
    <row r="38" spans="1:12" ht="30" customHeight="1" x14ac:dyDescent="0.25">
      <c r="A38" s="5" t="s">
        <v>1027</v>
      </c>
      <c r="B38" s="2" t="s">
        <v>1028</v>
      </c>
      <c r="C38" s="3">
        <v>1</v>
      </c>
      <c r="D38" s="6">
        <v>24.99</v>
      </c>
      <c r="E38" s="3" t="s">
        <v>1029</v>
      </c>
      <c r="F38" s="2" t="s">
        <v>2424</v>
      </c>
      <c r="G38" s="7"/>
      <c r="H38" s="2" t="s">
        <v>2459</v>
      </c>
      <c r="I38" s="2" t="s">
        <v>2406</v>
      </c>
      <c r="J38" s="2" t="s">
        <v>2361</v>
      </c>
      <c r="K38" s="2" t="s">
        <v>2835</v>
      </c>
      <c r="L38" s="8" t="str">
        <f>HYPERLINK("http://slimages.macys.com/is/image/MCY/10094912 ")</f>
        <v xml:space="preserve">http://slimages.macys.com/is/image/MCY/10094912 </v>
      </c>
    </row>
    <row r="39" spans="1:12" ht="30" customHeight="1" x14ac:dyDescent="0.25">
      <c r="A39" s="5" t="s">
        <v>1030</v>
      </c>
      <c r="B39" s="2" t="s">
        <v>1031</v>
      </c>
      <c r="C39" s="3">
        <v>2</v>
      </c>
      <c r="D39" s="6">
        <v>31.99</v>
      </c>
      <c r="E39" s="3">
        <v>64100</v>
      </c>
      <c r="F39" s="2" t="s">
        <v>2374</v>
      </c>
      <c r="G39" s="7" t="s">
        <v>2990</v>
      </c>
      <c r="H39" s="2" t="s">
        <v>2412</v>
      </c>
      <c r="I39" s="2" t="s">
        <v>2823</v>
      </c>
      <c r="J39" s="2" t="s">
        <v>2361</v>
      </c>
      <c r="K39" s="2" t="s">
        <v>1032</v>
      </c>
      <c r="L39" s="8" t="str">
        <f>HYPERLINK("http://slimages.macys.com/is/image/MCY/13768152 ")</f>
        <v xml:space="preserve">http://slimages.macys.com/is/image/MCY/13768152 </v>
      </c>
    </row>
    <row r="40" spans="1:12" ht="30" customHeight="1" x14ac:dyDescent="0.25">
      <c r="A40" s="5" t="s">
        <v>1033</v>
      </c>
      <c r="B40" s="2" t="s">
        <v>1034</v>
      </c>
      <c r="C40" s="3">
        <v>1</v>
      </c>
      <c r="D40" s="6">
        <v>24.99</v>
      </c>
      <c r="E40" s="3" t="s">
        <v>1035</v>
      </c>
      <c r="F40" s="2" t="s">
        <v>2401</v>
      </c>
      <c r="G40" s="7" t="s">
        <v>2518</v>
      </c>
      <c r="H40" s="2" t="s">
        <v>2419</v>
      </c>
      <c r="I40" s="2" t="s">
        <v>2950</v>
      </c>
      <c r="J40" s="2" t="s">
        <v>2361</v>
      </c>
      <c r="K40" s="2"/>
      <c r="L40" s="8" t="str">
        <f>HYPERLINK("http://slimages.macys.com/is/image/MCY/13785216 ")</f>
        <v xml:space="preserve">http://slimages.macys.com/is/image/MCY/13785216 </v>
      </c>
    </row>
    <row r="41" spans="1:12" ht="30" customHeight="1" x14ac:dyDescent="0.25">
      <c r="A41" s="5" t="s">
        <v>2514</v>
      </c>
      <c r="B41" s="2" t="s">
        <v>1036</v>
      </c>
      <c r="C41" s="3">
        <v>1</v>
      </c>
      <c r="D41" s="6">
        <v>24.99</v>
      </c>
      <c r="E41" s="3" t="s">
        <v>2516</v>
      </c>
      <c r="F41" s="2" t="s">
        <v>2517</v>
      </c>
      <c r="G41" s="7" t="s">
        <v>2518</v>
      </c>
      <c r="H41" s="2" t="s">
        <v>2419</v>
      </c>
      <c r="I41" s="2" t="s">
        <v>2406</v>
      </c>
      <c r="J41" s="2" t="s">
        <v>2361</v>
      </c>
      <c r="K41" s="2" t="s">
        <v>2519</v>
      </c>
      <c r="L41" s="8" t="str">
        <f>HYPERLINK("http://slimages.macys.com/is/image/MCY/9602403 ")</f>
        <v xml:space="preserve">http://slimages.macys.com/is/image/MCY/9602403 </v>
      </c>
    </row>
    <row r="42" spans="1:12" ht="30" customHeight="1" x14ac:dyDescent="0.25">
      <c r="A42" s="5" t="s">
        <v>1037</v>
      </c>
      <c r="B42" s="2" t="s">
        <v>1038</v>
      </c>
      <c r="C42" s="3">
        <v>1</v>
      </c>
      <c r="D42" s="6">
        <v>22.99</v>
      </c>
      <c r="E42" s="3" t="s">
        <v>1039</v>
      </c>
      <c r="F42" s="2" t="s">
        <v>2374</v>
      </c>
      <c r="G42" s="7" t="s">
        <v>2382</v>
      </c>
      <c r="H42" s="2" t="s">
        <v>2459</v>
      </c>
      <c r="I42" s="2" t="s">
        <v>3299</v>
      </c>
      <c r="J42" s="2" t="s">
        <v>2361</v>
      </c>
      <c r="K42" s="2" t="s">
        <v>1040</v>
      </c>
      <c r="L42" s="8" t="str">
        <f>HYPERLINK("http://slimages.macys.com/is/image/MCY/11311594 ")</f>
        <v xml:space="preserve">http://slimages.macys.com/is/image/MCY/11311594 </v>
      </c>
    </row>
    <row r="43" spans="1:12" ht="30" customHeight="1" x14ac:dyDescent="0.25">
      <c r="A43" s="5" t="s">
        <v>1041</v>
      </c>
      <c r="B43" s="2" t="s">
        <v>1042</v>
      </c>
      <c r="C43" s="3">
        <v>10</v>
      </c>
      <c r="D43" s="6">
        <v>37.99</v>
      </c>
      <c r="E43" s="3" t="s">
        <v>1043</v>
      </c>
      <c r="F43" s="2" t="s">
        <v>189</v>
      </c>
      <c r="G43" s="7"/>
      <c r="H43" s="2" t="s">
        <v>2419</v>
      </c>
      <c r="I43" s="2" t="s">
        <v>2632</v>
      </c>
      <c r="J43" s="2" t="s">
        <v>2361</v>
      </c>
      <c r="K43" s="2" t="s">
        <v>2656</v>
      </c>
      <c r="L43" s="8" t="str">
        <f>HYPERLINK("http://slimages.macys.com/is/image/MCY/11543193 ")</f>
        <v xml:space="preserve">http://slimages.macys.com/is/image/MCY/11543193 </v>
      </c>
    </row>
    <row r="44" spans="1:12" ht="30" customHeight="1" x14ac:dyDescent="0.25">
      <c r="A44" s="5" t="s">
        <v>1044</v>
      </c>
      <c r="B44" s="2" t="s">
        <v>1045</v>
      </c>
      <c r="C44" s="3">
        <v>3</v>
      </c>
      <c r="D44" s="6">
        <v>24.99</v>
      </c>
      <c r="E44" s="3" t="s">
        <v>1046</v>
      </c>
      <c r="F44" s="2" t="s">
        <v>2394</v>
      </c>
      <c r="G44" s="7" t="s">
        <v>63</v>
      </c>
      <c r="H44" s="2" t="s">
        <v>2419</v>
      </c>
      <c r="I44" s="2" t="s">
        <v>2139</v>
      </c>
      <c r="J44" s="2" t="s">
        <v>2361</v>
      </c>
      <c r="K44" s="2" t="s">
        <v>2377</v>
      </c>
      <c r="L44" s="8" t="str">
        <f>HYPERLINK("http://slimages.macys.com/is/image/MCY/1739041 ")</f>
        <v xml:space="preserve">http://slimages.macys.com/is/image/MCY/1739041 </v>
      </c>
    </row>
    <row r="45" spans="1:12" ht="30" customHeight="1" x14ac:dyDescent="0.25">
      <c r="A45" s="5" t="s">
        <v>1047</v>
      </c>
      <c r="B45" s="2" t="s">
        <v>1048</v>
      </c>
      <c r="C45" s="3">
        <v>4</v>
      </c>
      <c r="D45" s="6">
        <v>24.99</v>
      </c>
      <c r="E45" s="3" t="s">
        <v>1049</v>
      </c>
      <c r="F45" s="2" t="s">
        <v>2458</v>
      </c>
      <c r="G45" s="7" t="s">
        <v>63</v>
      </c>
      <c r="H45" s="2" t="s">
        <v>2419</v>
      </c>
      <c r="I45" s="2" t="s">
        <v>2139</v>
      </c>
      <c r="J45" s="2" t="s">
        <v>2361</v>
      </c>
      <c r="K45" s="2" t="s">
        <v>2377</v>
      </c>
      <c r="L45" s="8" t="str">
        <f>HYPERLINK("http://slimages.macys.com/is/image/MCY/1739041 ")</f>
        <v xml:space="preserve">http://slimages.macys.com/is/image/MCY/1739041 </v>
      </c>
    </row>
    <row r="46" spans="1:12" ht="30" customHeight="1" x14ac:dyDescent="0.25">
      <c r="A46" s="5" t="s">
        <v>478</v>
      </c>
      <c r="B46" s="2" t="s">
        <v>479</v>
      </c>
      <c r="C46" s="3">
        <v>2</v>
      </c>
      <c r="D46" s="6">
        <v>34.99</v>
      </c>
      <c r="E46" s="3" t="s">
        <v>2526</v>
      </c>
      <c r="F46" s="2" t="s">
        <v>2358</v>
      </c>
      <c r="G46" s="7"/>
      <c r="H46" s="2" t="s">
        <v>2395</v>
      </c>
      <c r="I46" s="2" t="s">
        <v>2527</v>
      </c>
      <c r="J46" s="2" t="s">
        <v>2361</v>
      </c>
      <c r="K46" s="2" t="s">
        <v>2377</v>
      </c>
      <c r="L46" s="8" t="str">
        <f>HYPERLINK("http://slimages.macys.com/is/image/MCY/14601403 ")</f>
        <v xml:space="preserve">http://slimages.macys.com/is/image/MCY/14601403 </v>
      </c>
    </row>
    <row r="47" spans="1:12" ht="30" customHeight="1" x14ac:dyDescent="0.25">
      <c r="A47" s="5" t="s">
        <v>1050</v>
      </c>
      <c r="B47" s="2" t="s">
        <v>1051</v>
      </c>
      <c r="C47" s="3">
        <v>1</v>
      </c>
      <c r="D47" s="6">
        <v>19.989999999999998</v>
      </c>
      <c r="E47" s="3" t="s">
        <v>1052</v>
      </c>
      <c r="F47" s="2" t="s">
        <v>2401</v>
      </c>
      <c r="G47" s="7"/>
      <c r="H47" s="2" t="s">
        <v>2419</v>
      </c>
      <c r="I47" s="2" t="s">
        <v>1060</v>
      </c>
      <c r="J47" s="2"/>
      <c r="K47" s="2"/>
      <c r="L47" s="8" t="str">
        <f>HYPERLINK("http://slimages.macys.com/is/image/MCY/16699872 ")</f>
        <v xml:space="preserve">http://slimages.macys.com/is/image/MCY/16699872 </v>
      </c>
    </row>
    <row r="48" spans="1:12" ht="30" customHeight="1" x14ac:dyDescent="0.25">
      <c r="A48" s="5" t="s">
        <v>1053</v>
      </c>
      <c r="B48" s="2" t="s">
        <v>1054</v>
      </c>
      <c r="C48" s="3">
        <v>1</v>
      </c>
      <c r="D48" s="6">
        <v>14.99</v>
      </c>
      <c r="E48" s="3">
        <v>1002300300</v>
      </c>
      <c r="F48" s="2" t="s">
        <v>2530</v>
      </c>
      <c r="G48" s="7" t="s">
        <v>2531</v>
      </c>
      <c r="H48" s="2" t="s">
        <v>2532</v>
      </c>
      <c r="I48" s="2" t="s">
        <v>2369</v>
      </c>
      <c r="J48" s="2" t="s">
        <v>2361</v>
      </c>
      <c r="K48" s="2" t="s">
        <v>2508</v>
      </c>
      <c r="L48" s="8" t="str">
        <f>HYPERLINK("http://slimages.macys.com/is/image/MCY/9837795 ")</f>
        <v xml:space="preserve">http://slimages.macys.com/is/image/MCY/9837795 </v>
      </c>
    </row>
    <row r="49" spans="1:12" ht="30" customHeight="1" x14ac:dyDescent="0.25">
      <c r="A49" s="5" t="s">
        <v>1579</v>
      </c>
      <c r="B49" s="2" t="s">
        <v>0</v>
      </c>
      <c r="C49" s="3">
        <v>1</v>
      </c>
      <c r="D49" s="6">
        <v>29.99</v>
      </c>
      <c r="E49" s="3" t="s">
        <v>1581</v>
      </c>
      <c r="F49" s="2" t="s">
        <v>2394</v>
      </c>
      <c r="G49" s="7"/>
      <c r="H49" s="2" t="s">
        <v>2395</v>
      </c>
      <c r="I49" s="2" t="s">
        <v>2396</v>
      </c>
      <c r="J49" s="2" t="s">
        <v>2361</v>
      </c>
      <c r="K49" s="2"/>
      <c r="L49" s="8" t="str">
        <f>HYPERLINK("http://slimages.macys.com/is/image/MCY/9997443 ")</f>
        <v xml:space="preserve">http://slimages.macys.com/is/image/MCY/9997443 </v>
      </c>
    </row>
    <row r="50" spans="1:12" ht="30" customHeight="1" x14ac:dyDescent="0.25">
      <c r="A50" s="5" t="s">
        <v>1</v>
      </c>
      <c r="B50" s="2" t="s">
        <v>2</v>
      </c>
      <c r="C50" s="3">
        <v>1</v>
      </c>
      <c r="D50" s="6">
        <v>5.99</v>
      </c>
      <c r="E50" s="3" t="s">
        <v>3</v>
      </c>
      <c r="F50" s="2" t="s">
        <v>2768</v>
      </c>
      <c r="G50" s="7" t="s">
        <v>2546</v>
      </c>
      <c r="H50" s="2" t="s">
        <v>2446</v>
      </c>
      <c r="I50" s="2" t="s">
        <v>2932</v>
      </c>
      <c r="J50" s="2" t="s">
        <v>2361</v>
      </c>
      <c r="K50" s="2" t="s">
        <v>2448</v>
      </c>
      <c r="L50" s="8" t="str">
        <f>HYPERLINK("http://slimages.macys.com/is/image/MCY/13683754 ")</f>
        <v xml:space="preserve">http://slimages.macys.com/is/image/MCY/13683754 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RowHeight="30" customHeight="1" x14ac:dyDescent="0.25"/>
  <cols>
    <col min="1" max="1" width="14.28515625" customWidth="1"/>
    <col min="2" max="2" width="26.85546875" customWidth="1"/>
    <col min="3" max="4" width="15" customWidth="1"/>
    <col min="5" max="5" width="14.8554687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2728</v>
      </c>
      <c r="B2" s="2" t="s">
        <v>2729</v>
      </c>
      <c r="C2" s="3">
        <v>1</v>
      </c>
      <c r="D2" s="6">
        <v>283.99</v>
      </c>
      <c r="E2" s="3" t="s">
        <v>2730</v>
      </c>
      <c r="F2" s="2" t="s">
        <v>2536</v>
      </c>
      <c r="G2" s="7" t="s">
        <v>2627</v>
      </c>
      <c r="H2" s="2" t="s">
        <v>2419</v>
      </c>
      <c r="I2" s="2" t="s">
        <v>2406</v>
      </c>
      <c r="J2" s="2" t="s">
        <v>2361</v>
      </c>
      <c r="K2" s="2" t="s">
        <v>2731</v>
      </c>
      <c r="L2" s="8" t="str">
        <f>HYPERLINK("http://slimages.macys.com/is/image/MCY/3717525 ")</f>
        <v xml:space="preserve">http://slimages.macys.com/is/image/MCY/3717525 </v>
      </c>
    </row>
    <row r="3" spans="1:12" ht="30" customHeight="1" x14ac:dyDescent="0.25">
      <c r="A3" s="5" t="s">
        <v>2732</v>
      </c>
      <c r="B3" s="2" t="s">
        <v>2733</v>
      </c>
      <c r="C3" s="3">
        <v>1</v>
      </c>
      <c r="D3" s="6">
        <v>250.99</v>
      </c>
      <c r="E3" s="3">
        <v>769924508732</v>
      </c>
      <c r="F3" s="2" t="s">
        <v>2440</v>
      </c>
      <c r="G3" s="7" t="s">
        <v>2382</v>
      </c>
      <c r="H3" s="2" t="s">
        <v>2359</v>
      </c>
      <c r="I3" s="2" t="s">
        <v>2734</v>
      </c>
      <c r="J3" s="2" t="s">
        <v>2361</v>
      </c>
      <c r="K3" s="2" t="s">
        <v>2377</v>
      </c>
      <c r="L3" s="8" t="str">
        <f>HYPERLINK("http://slimages.macys.com/is/image/MCY/10246113 ")</f>
        <v xml:space="preserve">http://slimages.macys.com/is/image/MCY/10246113 </v>
      </c>
    </row>
    <row r="4" spans="1:12" ht="30" customHeight="1" x14ac:dyDescent="0.25">
      <c r="A4" s="5" t="s">
        <v>2735</v>
      </c>
      <c r="B4" s="2" t="s">
        <v>2736</v>
      </c>
      <c r="C4" s="3">
        <v>1</v>
      </c>
      <c r="D4" s="6">
        <v>169.99</v>
      </c>
      <c r="E4" s="3" t="s">
        <v>2737</v>
      </c>
      <c r="F4" s="2" t="s">
        <v>2381</v>
      </c>
      <c r="G4" s="7"/>
      <c r="H4" s="2" t="s">
        <v>2359</v>
      </c>
      <c r="I4" s="2" t="s">
        <v>2406</v>
      </c>
      <c r="J4" s="2" t="s">
        <v>2361</v>
      </c>
      <c r="K4" s="2" t="s">
        <v>2738</v>
      </c>
      <c r="L4" s="8" t="str">
        <f>HYPERLINK("http://slimages.macys.com/is/image/MCY/9627813 ")</f>
        <v xml:space="preserve">http://slimages.macys.com/is/image/MCY/9627813 </v>
      </c>
    </row>
    <row r="5" spans="1:12" ht="30" customHeight="1" x14ac:dyDescent="0.25">
      <c r="A5" s="5" t="s">
        <v>2739</v>
      </c>
      <c r="B5" s="2" t="s">
        <v>2740</v>
      </c>
      <c r="C5" s="3">
        <v>1</v>
      </c>
      <c r="D5" s="6">
        <v>149.99</v>
      </c>
      <c r="E5" s="3" t="s">
        <v>2741</v>
      </c>
      <c r="F5" s="2"/>
      <c r="G5" s="7"/>
      <c r="H5" s="2" t="s">
        <v>2359</v>
      </c>
      <c r="I5" s="2" t="s">
        <v>2406</v>
      </c>
      <c r="J5" s="2" t="s">
        <v>2361</v>
      </c>
      <c r="K5" s="2" t="s">
        <v>2742</v>
      </c>
      <c r="L5" s="8" t="str">
        <f>HYPERLINK("http://slimages.macys.com/is/image/MCY/9566755 ")</f>
        <v xml:space="preserve">http://slimages.macys.com/is/image/MCY/9566755 </v>
      </c>
    </row>
    <row r="6" spans="1:12" ht="30" customHeight="1" x14ac:dyDescent="0.25">
      <c r="A6" s="5" t="s">
        <v>2743</v>
      </c>
      <c r="B6" s="2" t="s">
        <v>2744</v>
      </c>
      <c r="C6" s="3">
        <v>1</v>
      </c>
      <c r="D6" s="6">
        <v>99.99</v>
      </c>
      <c r="E6" s="3" t="s">
        <v>2745</v>
      </c>
      <c r="F6" s="2" t="s">
        <v>2552</v>
      </c>
      <c r="G6" s="7"/>
      <c r="H6" s="2" t="s">
        <v>2473</v>
      </c>
      <c r="I6" s="2" t="s">
        <v>2479</v>
      </c>
      <c r="J6" s="2" t="s">
        <v>2361</v>
      </c>
      <c r="K6" s="2" t="s">
        <v>2377</v>
      </c>
      <c r="L6" s="8" t="str">
        <f>HYPERLINK("http://slimages.macys.com/is/image/MCY/3819330 ")</f>
        <v xml:space="preserve">http://slimages.macys.com/is/image/MCY/3819330 </v>
      </c>
    </row>
    <row r="7" spans="1:12" ht="30" customHeight="1" x14ac:dyDescent="0.25">
      <c r="A7" s="5" t="s">
        <v>2746</v>
      </c>
      <c r="B7" s="2" t="s">
        <v>2747</v>
      </c>
      <c r="C7" s="3">
        <v>1</v>
      </c>
      <c r="D7" s="6">
        <v>139.99</v>
      </c>
      <c r="E7" s="3" t="s">
        <v>2748</v>
      </c>
      <c r="F7" s="2" t="s">
        <v>2424</v>
      </c>
      <c r="G7" s="7"/>
      <c r="H7" s="2" t="s">
        <v>2749</v>
      </c>
      <c r="I7" s="2" t="s">
        <v>2750</v>
      </c>
      <c r="J7" s="2" t="s">
        <v>2361</v>
      </c>
      <c r="K7" s="2" t="s">
        <v>2751</v>
      </c>
      <c r="L7" s="8" t="str">
        <f>HYPERLINK("http://slimages.macys.com/is/image/MCY/12355000 ")</f>
        <v xml:space="preserve">http://slimages.macys.com/is/image/MCY/12355000 </v>
      </c>
    </row>
    <row r="8" spans="1:12" ht="30" customHeight="1" x14ac:dyDescent="0.25">
      <c r="A8" s="5" t="s">
        <v>2752</v>
      </c>
      <c r="B8" s="2" t="s">
        <v>2753</v>
      </c>
      <c r="C8" s="3">
        <v>1</v>
      </c>
      <c r="D8" s="6">
        <v>119.99</v>
      </c>
      <c r="E8" s="3" t="s">
        <v>2754</v>
      </c>
      <c r="F8" s="2" t="s">
        <v>2440</v>
      </c>
      <c r="G8" s="7"/>
      <c r="H8" s="2" t="s">
        <v>2419</v>
      </c>
      <c r="I8" s="2" t="s">
        <v>2583</v>
      </c>
      <c r="J8" s="2" t="s">
        <v>2361</v>
      </c>
      <c r="K8" s="2" t="s">
        <v>2377</v>
      </c>
      <c r="L8" s="8" t="str">
        <f>HYPERLINK("http://slimages.macys.com/is/image/MCY/10023204 ")</f>
        <v xml:space="preserve">http://slimages.macys.com/is/image/MCY/10023204 </v>
      </c>
    </row>
    <row r="9" spans="1:12" ht="30" customHeight="1" x14ac:dyDescent="0.25">
      <c r="A9" s="5" t="s">
        <v>2755</v>
      </c>
      <c r="B9" s="2" t="s">
        <v>2756</v>
      </c>
      <c r="C9" s="3">
        <v>1</v>
      </c>
      <c r="D9" s="6">
        <v>99.99</v>
      </c>
      <c r="E9" s="3" t="s">
        <v>2757</v>
      </c>
      <c r="F9" s="2" t="s">
        <v>2358</v>
      </c>
      <c r="G9" s="7" t="s">
        <v>2758</v>
      </c>
      <c r="H9" s="2" t="s">
        <v>2412</v>
      </c>
      <c r="I9" s="2" t="s">
        <v>2759</v>
      </c>
      <c r="J9" s="2" t="s">
        <v>2361</v>
      </c>
      <c r="K9" s="2" t="s">
        <v>2760</v>
      </c>
      <c r="L9" s="8" t="str">
        <f>HYPERLINK("http://slimages.macys.com/is/image/MCY/9148019 ")</f>
        <v xml:space="preserve">http://slimages.macys.com/is/image/MCY/9148019 </v>
      </c>
    </row>
    <row r="10" spans="1:12" ht="30" customHeight="1" x14ac:dyDescent="0.25">
      <c r="A10" s="5" t="s">
        <v>2761</v>
      </c>
      <c r="B10" s="2" t="s">
        <v>2762</v>
      </c>
      <c r="C10" s="3">
        <v>1</v>
      </c>
      <c r="D10" s="6">
        <v>119.99</v>
      </c>
      <c r="E10" s="3" t="s">
        <v>2763</v>
      </c>
      <c r="F10" s="2" t="s">
        <v>2440</v>
      </c>
      <c r="G10" s="7"/>
      <c r="H10" s="2" t="s">
        <v>2359</v>
      </c>
      <c r="I10" s="2" t="s">
        <v>2406</v>
      </c>
      <c r="J10" s="2" t="s">
        <v>2361</v>
      </c>
      <c r="K10" s="2" t="s">
        <v>2764</v>
      </c>
      <c r="L10" s="8" t="str">
        <f>HYPERLINK("http://slimages.macys.com/is/image/MCY/9627897 ")</f>
        <v xml:space="preserve">http://slimages.macys.com/is/image/MCY/9627897 </v>
      </c>
    </row>
    <row r="11" spans="1:12" ht="30" customHeight="1" x14ac:dyDescent="0.25">
      <c r="A11" s="5" t="s">
        <v>2765</v>
      </c>
      <c r="B11" s="2" t="s">
        <v>2766</v>
      </c>
      <c r="C11" s="3">
        <v>1</v>
      </c>
      <c r="D11" s="6">
        <v>128.99</v>
      </c>
      <c r="E11" s="3" t="s">
        <v>2767</v>
      </c>
      <c r="F11" s="2" t="s">
        <v>2768</v>
      </c>
      <c r="G11" s="7"/>
      <c r="H11" s="2" t="s">
        <v>2419</v>
      </c>
      <c r="I11" s="2" t="s">
        <v>2406</v>
      </c>
      <c r="J11" s="2" t="s">
        <v>2361</v>
      </c>
      <c r="K11" s="2" t="s">
        <v>2593</v>
      </c>
      <c r="L11" s="8" t="str">
        <f>HYPERLINK("http://slimages.macys.com/is/image/MCY/12056510 ")</f>
        <v xml:space="preserve">http://slimages.macys.com/is/image/MCY/12056510 </v>
      </c>
    </row>
    <row r="12" spans="1:12" ht="30" customHeight="1" x14ac:dyDescent="0.25">
      <c r="A12" s="5" t="s">
        <v>2769</v>
      </c>
      <c r="B12" s="2" t="s">
        <v>2770</v>
      </c>
      <c r="C12" s="3">
        <v>1</v>
      </c>
      <c r="D12" s="6">
        <v>89.99</v>
      </c>
      <c r="E12" s="3" t="s">
        <v>2771</v>
      </c>
      <c r="F12" s="2" t="s">
        <v>2440</v>
      </c>
      <c r="G12" s="7"/>
      <c r="H12" s="2" t="s">
        <v>2359</v>
      </c>
      <c r="I12" s="2" t="s">
        <v>2406</v>
      </c>
      <c r="J12" s="2" t="s">
        <v>2361</v>
      </c>
      <c r="K12" s="2" t="s">
        <v>2772</v>
      </c>
      <c r="L12" s="8" t="str">
        <f>HYPERLINK("http://slimages.macys.com/is/image/MCY/9484110 ")</f>
        <v xml:space="preserve">http://slimages.macys.com/is/image/MCY/9484110 </v>
      </c>
    </row>
    <row r="13" spans="1:12" ht="30" customHeight="1" x14ac:dyDescent="0.25">
      <c r="A13" s="5" t="s">
        <v>2773</v>
      </c>
      <c r="B13" s="2" t="s">
        <v>2774</v>
      </c>
      <c r="C13" s="3">
        <v>1</v>
      </c>
      <c r="D13" s="6">
        <v>69.989999999999995</v>
      </c>
      <c r="E13" s="3" t="s">
        <v>2775</v>
      </c>
      <c r="F13" s="2" t="s">
        <v>2649</v>
      </c>
      <c r="G13" s="7"/>
      <c r="H13" s="2" t="s">
        <v>2359</v>
      </c>
      <c r="I13" s="2" t="s">
        <v>2406</v>
      </c>
      <c r="J13" s="2" t="s">
        <v>2361</v>
      </c>
      <c r="K13" s="2" t="s">
        <v>2776</v>
      </c>
      <c r="L13" s="8" t="str">
        <f>HYPERLINK("http://slimages.macys.com/is/image/MCY/8939359 ")</f>
        <v xml:space="preserve">http://slimages.macys.com/is/image/MCY/8939359 </v>
      </c>
    </row>
    <row r="14" spans="1:12" ht="30" customHeight="1" x14ac:dyDescent="0.25">
      <c r="A14" s="5" t="s">
        <v>2777</v>
      </c>
      <c r="B14" s="2" t="s">
        <v>2778</v>
      </c>
      <c r="C14" s="3">
        <v>1</v>
      </c>
      <c r="D14" s="6">
        <v>49.99</v>
      </c>
      <c r="E14" s="3" t="s">
        <v>2779</v>
      </c>
      <c r="F14" s="2" t="s">
        <v>2440</v>
      </c>
      <c r="G14" s="7"/>
      <c r="H14" s="2" t="s">
        <v>2419</v>
      </c>
      <c r="I14" s="2" t="s">
        <v>2780</v>
      </c>
      <c r="J14" s="2"/>
      <c r="K14" s="2"/>
      <c r="L14" s="8" t="str">
        <f>HYPERLINK("http://slimages.macys.com/is/image/MCY/1674396 ")</f>
        <v xml:space="preserve">http://slimages.macys.com/is/image/MCY/1674396 </v>
      </c>
    </row>
    <row r="15" spans="1:12" ht="30" customHeight="1" x14ac:dyDescent="0.25">
      <c r="A15" s="5" t="s">
        <v>2781</v>
      </c>
      <c r="B15" s="2" t="s">
        <v>2782</v>
      </c>
      <c r="C15" s="3">
        <v>1</v>
      </c>
      <c r="D15" s="6">
        <v>53.99</v>
      </c>
      <c r="E15" s="3" t="s">
        <v>2783</v>
      </c>
      <c r="F15" s="2"/>
      <c r="G15" s="7"/>
      <c r="H15" s="2" t="s">
        <v>2359</v>
      </c>
      <c r="I15" s="2" t="s">
        <v>2784</v>
      </c>
      <c r="J15" s="2" t="s">
        <v>2361</v>
      </c>
      <c r="K15" s="2" t="s">
        <v>2656</v>
      </c>
      <c r="L15" s="8" t="str">
        <f>HYPERLINK("http://slimages.macys.com/is/image/MCY/12234580 ")</f>
        <v xml:space="preserve">http://slimages.macys.com/is/image/MCY/12234580 </v>
      </c>
    </row>
    <row r="16" spans="1:12" ht="30" customHeight="1" x14ac:dyDescent="0.25">
      <c r="A16" s="5" t="s">
        <v>2785</v>
      </c>
      <c r="B16" s="2" t="s">
        <v>2786</v>
      </c>
      <c r="C16" s="3">
        <v>2</v>
      </c>
      <c r="D16" s="6">
        <v>46.99</v>
      </c>
      <c r="E16" s="3" t="s">
        <v>2787</v>
      </c>
      <c r="F16" s="2" t="s">
        <v>2374</v>
      </c>
      <c r="G16" s="7" t="s">
        <v>2411</v>
      </c>
      <c r="H16" s="2" t="s">
        <v>2412</v>
      </c>
      <c r="I16" s="2" t="s">
        <v>2788</v>
      </c>
      <c r="J16" s="2" t="s">
        <v>2789</v>
      </c>
      <c r="K16" s="2" t="s">
        <v>2790</v>
      </c>
      <c r="L16" s="8" t="str">
        <f>HYPERLINK("http://slimages.macys.com/is/image/MCY/11798166 ")</f>
        <v xml:space="preserve">http://slimages.macys.com/is/image/MCY/11798166 </v>
      </c>
    </row>
    <row r="17" spans="1:12" ht="30" customHeight="1" x14ac:dyDescent="0.25">
      <c r="A17" s="5" t="s">
        <v>2791</v>
      </c>
      <c r="B17" s="2" t="s">
        <v>2792</v>
      </c>
      <c r="C17" s="3">
        <v>1</v>
      </c>
      <c r="D17" s="6">
        <v>47.99</v>
      </c>
      <c r="E17" s="3">
        <v>3544079</v>
      </c>
      <c r="F17" s="2" t="s">
        <v>2793</v>
      </c>
      <c r="G17" s="7" t="s">
        <v>2382</v>
      </c>
      <c r="H17" s="2" t="s">
        <v>2359</v>
      </c>
      <c r="I17" s="2" t="s">
        <v>2794</v>
      </c>
      <c r="J17" s="2" t="s">
        <v>2361</v>
      </c>
      <c r="K17" s="2"/>
      <c r="L17" s="8" t="str">
        <f>HYPERLINK("http://slimages.macys.com/is/image/MCY/8780358 ")</f>
        <v xml:space="preserve">http://slimages.macys.com/is/image/MCY/8780358 </v>
      </c>
    </row>
    <row r="18" spans="1:12" ht="30" customHeight="1" x14ac:dyDescent="0.25">
      <c r="A18" s="5" t="s">
        <v>2795</v>
      </c>
      <c r="B18" s="2" t="s">
        <v>2796</v>
      </c>
      <c r="C18" s="3">
        <v>2</v>
      </c>
      <c r="D18" s="6">
        <v>38.99</v>
      </c>
      <c r="E18" s="3">
        <v>63832</v>
      </c>
      <c r="F18" s="2" t="s">
        <v>2797</v>
      </c>
      <c r="G18" s="7"/>
      <c r="H18" s="2" t="s">
        <v>2419</v>
      </c>
      <c r="I18" s="2" t="s">
        <v>2798</v>
      </c>
      <c r="J18" s="2" t="s">
        <v>2361</v>
      </c>
      <c r="K18" s="2" t="s">
        <v>2799</v>
      </c>
      <c r="L18" s="8" t="str">
        <f>HYPERLINK("http://slimages.macys.com/is/image/MCY/2972309 ")</f>
        <v xml:space="preserve">http://slimages.macys.com/is/image/MCY/2972309 </v>
      </c>
    </row>
    <row r="19" spans="1:12" ht="30" customHeight="1" x14ac:dyDescent="0.25">
      <c r="A19" s="5" t="s">
        <v>2800</v>
      </c>
      <c r="B19" s="2" t="s">
        <v>2801</v>
      </c>
      <c r="C19" s="3">
        <v>2</v>
      </c>
      <c r="D19" s="6">
        <v>55.99</v>
      </c>
      <c r="E19" s="3" t="s">
        <v>2802</v>
      </c>
      <c r="F19" s="2" t="s">
        <v>2622</v>
      </c>
      <c r="G19" s="7"/>
      <c r="H19" s="2" t="s">
        <v>2359</v>
      </c>
      <c r="I19" s="2" t="s">
        <v>2803</v>
      </c>
      <c r="J19" s="2" t="s">
        <v>2361</v>
      </c>
      <c r="K19" s="2" t="s">
        <v>2804</v>
      </c>
      <c r="L19" s="8" t="str">
        <f>HYPERLINK("http://slimages.macys.com/is/image/MCY/11865585 ")</f>
        <v xml:space="preserve">http://slimages.macys.com/is/image/MCY/11865585 </v>
      </c>
    </row>
    <row r="20" spans="1:12" ht="30" customHeight="1" x14ac:dyDescent="0.25">
      <c r="A20" s="5" t="s">
        <v>2805</v>
      </c>
      <c r="B20" s="2" t="s">
        <v>2806</v>
      </c>
      <c r="C20" s="3">
        <v>1</v>
      </c>
      <c r="D20" s="6">
        <v>44.99</v>
      </c>
      <c r="E20" s="3">
        <v>66033</v>
      </c>
      <c r="F20" s="2"/>
      <c r="G20" s="7"/>
      <c r="H20" s="2" t="s">
        <v>2459</v>
      </c>
      <c r="I20" s="2" t="s">
        <v>2807</v>
      </c>
      <c r="J20" s="2" t="s">
        <v>2361</v>
      </c>
      <c r="K20" s="2"/>
      <c r="L20" s="8" t="str">
        <f>HYPERLINK("http://slimages.macys.com/is/image/MCY/9288935 ")</f>
        <v xml:space="preserve">http://slimages.macys.com/is/image/MCY/9288935 </v>
      </c>
    </row>
    <row r="21" spans="1:12" ht="30" customHeight="1" x14ac:dyDescent="0.25">
      <c r="A21" s="5" t="s">
        <v>2808</v>
      </c>
      <c r="B21" s="2" t="s">
        <v>2809</v>
      </c>
      <c r="C21" s="3">
        <v>1</v>
      </c>
      <c r="D21" s="6">
        <v>37.99</v>
      </c>
      <c r="E21" s="3" t="s">
        <v>2810</v>
      </c>
      <c r="F21" s="2" t="s">
        <v>2517</v>
      </c>
      <c r="G21" s="7" t="s">
        <v>2518</v>
      </c>
      <c r="H21" s="2" t="s">
        <v>2419</v>
      </c>
      <c r="I21" s="2" t="s">
        <v>2406</v>
      </c>
      <c r="J21" s="2" t="s">
        <v>2361</v>
      </c>
      <c r="K21" s="2" t="s">
        <v>2811</v>
      </c>
      <c r="L21" s="8" t="str">
        <f>HYPERLINK("http://slimages.macys.com/is/image/MCY/9602308 ")</f>
        <v xml:space="preserve">http://slimages.macys.com/is/image/MCY/9602308 </v>
      </c>
    </row>
    <row r="22" spans="1:12" ht="30" customHeight="1" x14ac:dyDescent="0.25">
      <c r="A22" s="5" t="s">
        <v>2812</v>
      </c>
      <c r="B22" s="2" t="s">
        <v>2813</v>
      </c>
      <c r="C22" s="3">
        <v>1</v>
      </c>
      <c r="D22" s="6">
        <v>29.99</v>
      </c>
      <c r="E22" s="3" t="s">
        <v>2814</v>
      </c>
      <c r="F22" s="2" t="s">
        <v>2464</v>
      </c>
      <c r="G22" s="7" t="s">
        <v>2382</v>
      </c>
      <c r="H22" s="2" t="s">
        <v>2815</v>
      </c>
      <c r="I22" s="2" t="s">
        <v>2816</v>
      </c>
      <c r="J22" s="2" t="s">
        <v>2361</v>
      </c>
      <c r="K22" s="2" t="s">
        <v>2817</v>
      </c>
      <c r="L22" s="8" t="str">
        <f>HYPERLINK("http://slimages.macys.com/is/image/MCY/848324 ")</f>
        <v xml:space="preserve">http://slimages.macys.com/is/image/MCY/848324 </v>
      </c>
    </row>
    <row r="23" spans="1:12" ht="30" customHeight="1" x14ac:dyDescent="0.25">
      <c r="A23" s="5" t="s">
        <v>2818</v>
      </c>
      <c r="B23" s="2" t="s">
        <v>2819</v>
      </c>
      <c r="C23" s="3">
        <v>1</v>
      </c>
      <c r="D23" s="6">
        <v>38.99</v>
      </c>
      <c r="E23" s="3" t="s">
        <v>2820</v>
      </c>
      <c r="F23" s="2" t="s">
        <v>2622</v>
      </c>
      <c r="G23" s="7"/>
      <c r="H23" s="2" t="s">
        <v>2419</v>
      </c>
      <c r="I23" s="2" t="s">
        <v>2406</v>
      </c>
      <c r="J23" s="2" t="s">
        <v>2361</v>
      </c>
      <c r="K23" s="2"/>
      <c r="L23" s="8" t="str">
        <f>HYPERLINK("http://slimages.macys.com/is/image/MCY/9310270 ")</f>
        <v xml:space="preserve">http://slimages.macys.com/is/image/MCY/9310270 </v>
      </c>
    </row>
    <row r="24" spans="1:12" ht="30" customHeight="1" x14ac:dyDescent="0.25">
      <c r="A24" s="5" t="s">
        <v>2821</v>
      </c>
      <c r="B24" s="2" t="s">
        <v>2822</v>
      </c>
      <c r="C24" s="3">
        <v>1</v>
      </c>
      <c r="D24" s="6">
        <v>54.99</v>
      </c>
      <c r="E24" s="3">
        <v>17302</v>
      </c>
      <c r="F24" s="2" t="s">
        <v>2374</v>
      </c>
      <c r="G24" s="7"/>
      <c r="H24" s="2" t="s">
        <v>2412</v>
      </c>
      <c r="I24" s="2" t="s">
        <v>2823</v>
      </c>
      <c r="J24" s="2" t="s">
        <v>2361</v>
      </c>
      <c r="K24" s="2"/>
      <c r="L24" s="8" t="str">
        <f>HYPERLINK("http://slimages.macys.com/is/image/MCY/9850137 ")</f>
        <v xml:space="preserve">http://slimages.macys.com/is/image/MCY/9850137 </v>
      </c>
    </row>
    <row r="25" spans="1:12" ht="30" customHeight="1" x14ac:dyDescent="0.25">
      <c r="A25" s="5" t="s">
        <v>2824</v>
      </c>
      <c r="B25" s="2" t="s">
        <v>2825</v>
      </c>
      <c r="C25" s="3">
        <v>1</v>
      </c>
      <c r="D25" s="6">
        <v>37.99</v>
      </c>
      <c r="E25" s="3">
        <v>60584</v>
      </c>
      <c r="F25" s="2" t="s">
        <v>2374</v>
      </c>
      <c r="G25" s="7"/>
      <c r="H25" s="2" t="s">
        <v>2412</v>
      </c>
      <c r="I25" s="2" t="s">
        <v>2826</v>
      </c>
      <c r="J25" s="2" t="s">
        <v>2361</v>
      </c>
      <c r="K25" s="2" t="s">
        <v>2827</v>
      </c>
      <c r="L25" s="8" t="str">
        <f>HYPERLINK("http://slimages.macys.com/is/image/MCY/10672449 ")</f>
        <v xml:space="preserve">http://slimages.macys.com/is/image/MCY/10672449 </v>
      </c>
    </row>
    <row r="26" spans="1:12" ht="30" customHeight="1" x14ac:dyDescent="0.25">
      <c r="A26" s="5" t="s">
        <v>2828</v>
      </c>
      <c r="B26" s="2" t="s">
        <v>2829</v>
      </c>
      <c r="C26" s="3">
        <v>1</v>
      </c>
      <c r="D26" s="6">
        <v>36.99</v>
      </c>
      <c r="E26" s="3" t="s">
        <v>2830</v>
      </c>
      <c r="F26" s="2" t="s">
        <v>2517</v>
      </c>
      <c r="G26" s="7"/>
      <c r="H26" s="2" t="s">
        <v>2419</v>
      </c>
      <c r="I26" s="2" t="s">
        <v>2406</v>
      </c>
      <c r="J26" s="2" t="s">
        <v>2361</v>
      </c>
      <c r="K26" s="2" t="s">
        <v>2831</v>
      </c>
      <c r="L26" s="8" t="str">
        <f>HYPERLINK("http://slimages.macys.com/is/image/MCY/9929848 ")</f>
        <v xml:space="preserve">http://slimages.macys.com/is/image/MCY/9929848 </v>
      </c>
    </row>
    <row r="27" spans="1:12" ht="30" customHeight="1" x14ac:dyDescent="0.25">
      <c r="A27" s="5" t="s">
        <v>2832</v>
      </c>
      <c r="B27" s="2" t="s">
        <v>2833</v>
      </c>
      <c r="C27" s="3">
        <v>1</v>
      </c>
      <c r="D27" s="6">
        <v>29.99</v>
      </c>
      <c r="E27" s="3" t="s">
        <v>2834</v>
      </c>
      <c r="F27" s="2" t="s">
        <v>2424</v>
      </c>
      <c r="G27" s="7"/>
      <c r="H27" s="2" t="s">
        <v>2459</v>
      </c>
      <c r="I27" s="2" t="s">
        <v>2406</v>
      </c>
      <c r="J27" s="2" t="s">
        <v>2432</v>
      </c>
      <c r="K27" s="2" t="s">
        <v>2835</v>
      </c>
      <c r="L27" s="8" t="str">
        <f>HYPERLINK("http://slimages.macys.com/is/image/MCY/10094914 ")</f>
        <v xml:space="preserve">http://slimages.macys.com/is/image/MCY/10094914 </v>
      </c>
    </row>
    <row r="28" spans="1:12" ht="30" customHeight="1" x14ac:dyDescent="0.25">
      <c r="A28" s="5" t="s">
        <v>2836</v>
      </c>
      <c r="B28" s="2" t="s">
        <v>2837</v>
      </c>
      <c r="C28" s="3">
        <v>1</v>
      </c>
      <c r="D28" s="6">
        <v>29.99</v>
      </c>
      <c r="E28" s="3" t="s">
        <v>2838</v>
      </c>
      <c r="F28" s="2" t="s">
        <v>2464</v>
      </c>
      <c r="G28" s="7" t="s">
        <v>2382</v>
      </c>
      <c r="H28" s="2" t="s">
        <v>2815</v>
      </c>
      <c r="I28" s="2" t="s">
        <v>2839</v>
      </c>
      <c r="J28" s="2" t="s">
        <v>2361</v>
      </c>
      <c r="K28" s="2" t="s">
        <v>2840</v>
      </c>
      <c r="L28" s="8" t="str">
        <f>HYPERLINK("http://slimages.macys.com/is/image/MCY/2033718 ")</f>
        <v xml:space="preserve">http://slimages.macys.com/is/image/MCY/2033718 </v>
      </c>
    </row>
    <row r="29" spans="1:12" ht="30" customHeight="1" x14ac:dyDescent="0.25">
      <c r="A29" s="5" t="s">
        <v>2841</v>
      </c>
      <c r="B29" s="2" t="s">
        <v>2842</v>
      </c>
      <c r="C29" s="3">
        <v>4</v>
      </c>
      <c r="D29" s="6">
        <v>29.99</v>
      </c>
      <c r="E29" s="3" t="s">
        <v>2843</v>
      </c>
      <c r="F29" s="2" t="s">
        <v>2464</v>
      </c>
      <c r="G29" s="7" t="s">
        <v>2382</v>
      </c>
      <c r="H29" s="2" t="s">
        <v>2815</v>
      </c>
      <c r="I29" s="2" t="s">
        <v>2844</v>
      </c>
      <c r="J29" s="2" t="s">
        <v>2361</v>
      </c>
      <c r="K29" s="2" t="s">
        <v>2845</v>
      </c>
      <c r="L29" s="8" t="str">
        <f>HYPERLINK("http://slimages.macys.com/is/image/MCY/2154541 ")</f>
        <v xml:space="preserve">http://slimages.macys.com/is/image/MCY/2154541 </v>
      </c>
    </row>
    <row r="30" spans="1:12" ht="30" customHeight="1" x14ac:dyDescent="0.25">
      <c r="A30" s="5" t="s">
        <v>2846</v>
      </c>
      <c r="B30" s="2" t="s">
        <v>2847</v>
      </c>
      <c r="C30" s="3">
        <v>1</v>
      </c>
      <c r="D30" s="6">
        <v>37.99</v>
      </c>
      <c r="E30" s="3" t="s">
        <v>2848</v>
      </c>
      <c r="F30" s="2" t="s">
        <v>2849</v>
      </c>
      <c r="G30" s="7"/>
      <c r="H30" s="2" t="s">
        <v>2419</v>
      </c>
      <c r="I30" s="2" t="s">
        <v>2850</v>
      </c>
      <c r="J30" s="2" t="s">
        <v>2361</v>
      </c>
      <c r="K30" s="2" t="s">
        <v>2656</v>
      </c>
      <c r="L30" s="8" t="str">
        <f>HYPERLINK("http://slimages.macys.com/is/image/MCY/11685358 ")</f>
        <v xml:space="preserve">http://slimages.macys.com/is/image/MCY/11685358 </v>
      </c>
    </row>
    <row r="31" spans="1:12" ht="30" customHeight="1" x14ac:dyDescent="0.25">
      <c r="A31" s="5" t="s">
        <v>2851</v>
      </c>
      <c r="B31" s="2" t="s">
        <v>2852</v>
      </c>
      <c r="C31" s="3">
        <v>1</v>
      </c>
      <c r="D31" s="6">
        <v>38.99</v>
      </c>
      <c r="E31" s="3" t="s">
        <v>2853</v>
      </c>
      <c r="F31" s="2" t="s">
        <v>2622</v>
      </c>
      <c r="G31" s="7"/>
      <c r="H31" s="2" t="s">
        <v>2359</v>
      </c>
      <c r="I31" s="2" t="s">
        <v>2803</v>
      </c>
      <c r="J31" s="2" t="s">
        <v>2361</v>
      </c>
      <c r="K31" s="2" t="s">
        <v>2854</v>
      </c>
      <c r="L31" s="8" t="str">
        <f>HYPERLINK("http://slimages.macys.com/is/image/MCY/10005660 ")</f>
        <v xml:space="preserve">http://slimages.macys.com/is/image/MCY/10005660 </v>
      </c>
    </row>
    <row r="32" spans="1:12" ht="30" customHeight="1" x14ac:dyDescent="0.25">
      <c r="A32" s="5" t="s">
        <v>2855</v>
      </c>
      <c r="B32" s="2" t="s">
        <v>2856</v>
      </c>
      <c r="C32" s="3">
        <v>1</v>
      </c>
      <c r="D32" s="6">
        <v>38.99</v>
      </c>
      <c r="E32" s="3" t="s">
        <v>2857</v>
      </c>
      <c r="F32" s="2" t="s">
        <v>2622</v>
      </c>
      <c r="G32" s="7"/>
      <c r="H32" s="2" t="s">
        <v>2359</v>
      </c>
      <c r="I32" s="2" t="s">
        <v>2803</v>
      </c>
      <c r="J32" s="2" t="s">
        <v>2361</v>
      </c>
      <c r="K32" s="2" t="s">
        <v>2854</v>
      </c>
      <c r="L32" s="8" t="str">
        <f>HYPERLINK("http://slimages.macys.com/is/image/MCY/10005660 ")</f>
        <v xml:space="preserve">http://slimages.macys.com/is/image/MCY/10005660 </v>
      </c>
    </row>
    <row r="33" spans="1:12" ht="30" customHeight="1" x14ac:dyDescent="0.25">
      <c r="A33" s="5" t="s">
        <v>2858</v>
      </c>
      <c r="B33" s="2" t="s">
        <v>2859</v>
      </c>
      <c r="C33" s="3">
        <v>1</v>
      </c>
      <c r="D33" s="6">
        <v>34.99</v>
      </c>
      <c r="E33" s="3" t="s">
        <v>2860</v>
      </c>
      <c r="F33" s="2" t="s">
        <v>2374</v>
      </c>
      <c r="G33" s="7" t="s">
        <v>2666</v>
      </c>
      <c r="H33" s="2" t="s">
        <v>2465</v>
      </c>
      <c r="I33" s="2" t="s">
        <v>2861</v>
      </c>
      <c r="J33" s="2" t="s">
        <v>2862</v>
      </c>
      <c r="K33" s="2"/>
      <c r="L33" s="8" t="str">
        <f>HYPERLINK("http://slimages.macys.com/is/image/MCY/9454194 ")</f>
        <v xml:space="preserve">http://slimages.macys.com/is/image/MCY/9454194 </v>
      </c>
    </row>
    <row r="34" spans="1:12" ht="30" customHeight="1" x14ac:dyDescent="0.25">
      <c r="A34" s="5" t="s">
        <v>2863</v>
      </c>
      <c r="B34" s="2" t="s">
        <v>2864</v>
      </c>
      <c r="C34" s="3">
        <v>1</v>
      </c>
      <c r="D34" s="6">
        <v>24.99</v>
      </c>
      <c r="E34" s="3" t="s">
        <v>2865</v>
      </c>
      <c r="F34" s="2" t="s">
        <v>2401</v>
      </c>
      <c r="G34" s="7"/>
      <c r="H34" s="2" t="s">
        <v>2459</v>
      </c>
      <c r="I34" s="2" t="s">
        <v>2406</v>
      </c>
      <c r="J34" s="2" t="s">
        <v>2432</v>
      </c>
      <c r="K34" s="2" t="s">
        <v>2866</v>
      </c>
      <c r="L34" s="8" t="str">
        <f>HYPERLINK("http://slimages.macys.com/is/image/MCY/10243929 ")</f>
        <v xml:space="preserve">http://slimages.macys.com/is/image/MCY/10243929 </v>
      </c>
    </row>
    <row r="35" spans="1:12" ht="30" customHeight="1" x14ac:dyDescent="0.25">
      <c r="A35" s="5" t="s">
        <v>2867</v>
      </c>
      <c r="B35" s="2" t="s">
        <v>2868</v>
      </c>
      <c r="C35" s="3">
        <v>1</v>
      </c>
      <c r="D35" s="6">
        <v>24.99</v>
      </c>
      <c r="E35" s="3" t="s">
        <v>2869</v>
      </c>
      <c r="F35" s="2" t="s">
        <v>2464</v>
      </c>
      <c r="G35" s="7" t="s">
        <v>2382</v>
      </c>
      <c r="H35" s="2" t="s">
        <v>2815</v>
      </c>
      <c r="I35" s="2" t="s">
        <v>2844</v>
      </c>
      <c r="J35" s="2" t="s">
        <v>2361</v>
      </c>
      <c r="K35" s="2" t="s">
        <v>2845</v>
      </c>
      <c r="L35" s="8" t="str">
        <f>HYPERLINK("http://slimages.macys.com/is/image/MCY/1451851 ")</f>
        <v xml:space="preserve">http://slimages.macys.com/is/image/MCY/1451851 </v>
      </c>
    </row>
    <row r="36" spans="1:12" ht="30" customHeight="1" x14ac:dyDescent="0.25">
      <c r="A36" s="5" t="s">
        <v>2870</v>
      </c>
      <c r="B36" s="2" t="s">
        <v>2871</v>
      </c>
      <c r="C36" s="3">
        <v>1</v>
      </c>
      <c r="D36" s="6">
        <v>24.99</v>
      </c>
      <c r="E36" s="3" t="s">
        <v>2872</v>
      </c>
      <c r="F36" s="2" t="s">
        <v>2381</v>
      </c>
      <c r="G36" s="7"/>
      <c r="H36" s="2" t="s">
        <v>2419</v>
      </c>
      <c r="I36" s="2" t="s">
        <v>2406</v>
      </c>
      <c r="J36" s="2" t="s">
        <v>2361</v>
      </c>
      <c r="K36" s="2"/>
      <c r="L36" s="8" t="str">
        <f>HYPERLINK("http://slimages.macys.com/is/image/MCY/10010840 ")</f>
        <v xml:space="preserve">http://slimages.macys.com/is/image/MCY/10010840 </v>
      </c>
    </row>
    <row r="37" spans="1:12" ht="30" customHeight="1" x14ac:dyDescent="0.25">
      <c r="A37" s="5" t="s">
        <v>2873</v>
      </c>
      <c r="B37" s="2" t="s">
        <v>2874</v>
      </c>
      <c r="C37" s="3">
        <v>2</v>
      </c>
      <c r="D37" s="6">
        <v>32.99</v>
      </c>
      <c r="E37" s="3" t="s">
        <v>2875</v>
      </c>
      <c r="F37" s="2" t="s">
        <v>2793</v>
      </c>
      <c r="G37" s="7"/>
      <c r="H37" s="2" t="s">
        <v>2419</v>
      </c>
      <c r="I37" s="2" t="s">
        <v>2850</v>
      </c>
      <c r="J37" s="2" t="s">
        <v>2361</v>
      </c>
      <c r="K37" s="2" t="s">
        <v>2656</v>
      </c>
      <c r="L37" s="8" t="str">
        <f>HYPERLINK("http://slimages.macys.com/is/image/MCY/11685418 ")</f>
        <v xml:space="preserve">http://slimages.macys.com/is/image/MCY/11685418 </v>
      </c>
    </row>
    <row r="38" spans="1:12" ht="30" customHeight="1" x14ac:dyDescent="0.25">
      <c r="A38" s="5" t="s">
        <v>2876</v>
      </c>
      <c r="B38" s="2" t="s">
        <v>2877</v>
      </c>
      <c r="C38" s="3">
        <v>1</v>
      </c>
      <c r="D38" s="6">
        <v>29.99</v>
      </c>
      <c r="E38" s="3" t="s">
        <v>2878</v>
      </c>
      <c r="F38" s="2" t="s">
        <v>2440</v>
      </c>
      <c r="G38" s="7"/>
      <c r="H38" s="2" t="s">
        <v>2879</v>
      </c>
      <c r="I38" s="2" t="s">
        <v>2880</v>
      </c>
      <c r="J38" s="2" t="s">
        <v>2361</v>
      </c>
      <c r="K38" s="2" t="s">
        <v>2881</v>
      </c>
      <c r="L38" s="8" t="str">
        <f>HYPERLINK("http://slimages.macys.com/is/image/MCY/9893979 ")</f>
        <v xml:space="preserve">http://slimages.macys.com/is/image/MCY/9893979 </v>
      </c>
    </row>
    <row r="39" spans="1:12" ht="30" customHeight="1" x14ac:dyDescent="0.25">
      <c r="A39" s="5" t="s">
        <v>2882</v>
      </c>
      <c r="B39" s="2" t="s">
        <v>2883</v>
      </c>
      <c r="C39" s="3">
        <v>1</v>
      </c>
      <c r="D39" s="6">
        <v>29.99</v>
      </c>
      <c r="E39" s="3" t="s">
        <v>2884</v>
      </c>
      <c r="F39" s="2"/>
      <c r="G39" s="7"/>
      <c r="H39" s="2" t="s">
        <v>2359</v>
      </c>
      <c r="I39" s="2" t="s">
        <v>2803</v>
      </c>
      <c r="J39" s="2" t="s">
        <v>2361</v>
      </c>
      <c r="K39" s="2" t="s">
        <v>2377</v>
      </c>
      <c r="L39" s="8" t="str">
        <f>HYPERLINK("http://slimages.macys.com/is/image/MCY/16344436 ")</f>
        <v xml:space="preserve">http://slimages.macys.com/is/image/MCY/16344436 </v>
      </c>
    </row>
    <row r="40" spans="1:12" ht="30" customHeight="1" x14ac:dyDescent="0.25">
      <c r="A40" s="5" t="s">
        <v>2885</v>
      </c>
      <c r="B40" s="2" t="s">
        <v>2886</v>
      </c>
      <c r="C40" s="3">
        <v>3</v>
      </c>
      <c r="D40" s="6">
        <v>19.989999999999998</v>
      </c>
      <c r="E40" s="3" t="s">
        <v>2887</v>
      </c>
      <c r="F40" s="2" t="s">
        <v>2464</v>
      </c>
      <c r="G40" s="7" t="s">
        <v>2382</v>
      </c>
      <c r="H40" s="2" t="s">
        <v>2815</v>
      </c>
      <c r="I40" s="2" t="s">
        <v>2888</v>
      </c>
      <c r="J40" s="2" t="s">
        <v>2361</v>
      </c>
      <c r="K40" s="2" t="s">
        <v>2889</v>
      </c>
      <c r="L40" s="8" t="str">
        <f>HYPERLINK("http://slimages.macys.com/is/image/MCY/1440530 ")</f>
        <v xml:space="preserve">http://slimages.macys.com/is/image/MCY/1440530 </v>
      </c>
    </row>
    <row r="41" spans="1:12" ht="30" customHeight="1" x14ac:dyDescent="0.25">
      <c r="A41" s="5" t="s">
        <v>2890</v>
      </c>
      <c r="B41" s="2" t="s">
        <v>2891</v>
      </c>
      <c r="C41" s="3">
        <v>1</v>
      </c>
      <c r="D41" s="6">
        <v>19.989999999999998</v>
      </c>
      <c r="E41" s="3" t="s">
        <v>2892</v>
      </c>
      <c r="F41" s="2" t="s">
        <v>2418</v>
      </c>
      <c r="G41" s="7"/>
      <c r="H41" s="2" t="s">
        <v>2815</v>
      </c>
      <c r="I41" s="2" t="s">
        <v>2893</v>
      </c>
      <c r="J41" s="2" t="s">
        <v>2361</v>
      </c>
      <c r="K41" s="2" t="s">
        <v>2894</v>
      </c>
      <c r="L41" s="8" t="str">
        <f>HYPERLINK("http://slimages.macys.com/is/image/MCY/1119542 ")</f>
        <v xml:space="preserve">http://slimages.macys.com/is/image/MCY/1119542 </v>
      </c>
    </row>
    <row r="42" spans="1:12" ht="30" customHeight="1" x14ac:dyDescent="0.25">
      <c r="A42" s="5" t="s">
        <v>2895</v>
      </c>
      <c r="B42" s="2" t="s">
        <v>2896</v>
      </c>
      <c r="C42" s="3">
        <v>1</v>
      </c>
      <c r="D42" s="6">
        <v>19.989999999999998</v>
      </c>
      <c r="E42" s="3" t="s">
        <v>2897</v>
      </c>
      <c r="F42" s="2" t="s">
        <v>2381</v>
      </c>
      <c r="G42" s="7" t="s">
        <v>2382</v>
      </c>
      <c r="H42" s="2" t="s">
        <v>2419</v>
      </c>
      <c r="I42" s="2" t="s">
        <v>2632</v>
      </c>
      <c r="J42" s="2" t="s">
        <v>2361</v>
      </c>
      <c r="K42" s="2" t="s">
        <v>2831</v>
      </c>
      <c r="L42" s="8" t="str">
        <f>HYPERLINK("http://slimages.macys.com/is/image/MCY/9456387 ")</f>
        <v xml:space="preserve">http://slimages.macys.com/is/image/MCY/9456387 </v>
      </c>
    </row>
    <row r="43" spans="1:12" ht="30" customHeight="1" x14ac:dyDescent="0.25">
      <c r="A43" s="5" t="s">
        <v>2898</v>
      </c>
      <c r="B43" s="2" t="s">
        <v>2899</v>
      </c>
      <c r="C43" s="3">
        <v>1</v>
      </c>
      <c r="D43" s="6">
        <v>16.989999999999998</v>
      </c>
      <c r="E43" s="3" t="s">
        <v>2900</v>
      </c>
      <c r="F43" s="2" t="s">
        <v>2374</v>
      </c>
      <c r="G43" s="7" t="s">
        <v>2666</v>
      </c>
      <c r="H43" s="2" t="s">
        <v>2465</v>
      </c>
      <c r="I43" s="2" t="s">
        <v>2901</v>
      </c>
      <c r="J43" s="2" t="s">
        <v>2467</v>
      </c>
      <c r="K43" s="2"/>
      <c r="L43" s="8" t="str">
        <f>HYPERLINK("http://slimages.macys.com/is/image/MCY/14346822 ")</f>
        <v xml:space="preserve">http://slimages.macys.com/is/image/MCY/14346822 </v>
      </c>
    </row>
    <row r="44" spans="1:12" ht="30" customHeight="1" x14ac:dyDescent="0.25">
      <c r="A44" s="5" t="s">
        <v>2902</v>
      </c>
      <c r="B44" s="2" t="s">
        <v>2903</v>
      </c>
      <c r="C44" s="3">
        <v>1</v>
      </c>
      <c r="D44" s="6">
        <v>14.99</v>
      </c>
      <c r="E44" s="3" t="s">
        <v>2904</v>
      </c>
      <c r="F44" s="2" t="s">
        <v>2374</v>
      </c>
      <c r="G44" s="7" t="s">
        <v>2905</v>
      </c>
      <c r="H44" s="2" t="s">
        <v>2419</v>
      </c>
      <c r="I44" s="2" t="s">
        <v>2697</v>
      </c>
      <c r="J44" s="2" t="s">
        <v>2361</v>
      </c>
      <c r="K44" s="2"/>
      <c r="L44" s="8" t="str">
        <f>HYPERLINK("http://slimages.macys.com/is/image/MCY/2469519 ")</f>
        <v xml:space="preserve">http://slimages.macys.com/is/image/MCY/2469519 </v>
      </c>
    </row>
    <row r="45" spans="1:12" ht="30" customHeight="1" x14ac:dyDescent="0.25">
      <c r="A45" s="5" t="s">
        <v>2906</v>
      </c>
      <c r="B45" s="2" t="s">
        <v>2907</v>
      </c>
      <c r="C45" s="3">
        <v>2</v>
      </c>
      <c r="D45" s="6">
        <v>14.99</v>
      </c>
      <c r="E45" s="3">
        <v>31372</v>
      </c>
      <c r="F45" s="2"/>
      <c r="G45" s="7"/>
      <c r="H45" s="2" t="s">
        <v>2419</v>
      </c>
      <c r="I45" s="2" t="s">
        <v>2697</v>
      </c>
      <c r="J45" s="2" t="s">
        <v>2361</v>
      </c>
      <c r="K45" s="2"/>
      <c r="L45" s="8" t="str">
        <f>HYPERLINK("http://slimages.macys.com/is/image/MCY/8393617 ")</f>
        <v xml:space="preserve">http://slimages.macys.com/is/image/MCY/8393617 </v>
      </c>
    </row>
    <row r="46" spans="1:12" ht="30" customHeight="1" x14ac:dyDescent="0.25">
      <c r="A46" s="5" t="s">
        <v>2908</v>
      </c>
      <c r="B46" s="2" t="s">
        <v>2909</v>
      </c>
      <c r="C46" s="3">
        <v>1</v>
      </c>
      <c r="D46" s="6">
        <v>22.99</v>
      </c>
      <c r="E46" s="3" t="s">
        <v>2910</v>
      </c>
      <c r="F46" s="2" t="s">
        <v>2374</v>
      </c>
      <c r="G46" s="7"/>
      <c r="H46" s="2" t="s">
        <v>2359</v>
      </c>
      <c r="I46" s="2" t="s">
        <v>2911</v>
      </c>
      <c r="J46" s="2" t="s">
        <v>2361</v>
      </c>
      <c r="K46" s="2" t="s">
        <v>2377</v>
      </c>
      <c r="L46" s="8" t="str">
        <f>HYPERLINK("http://slimages.macys.com/is/image/MCY/10182056 ")</f>
        <v xml:space="preserve">http://slimages.macys.com/is/image/MCY/10182056 </v>
      </c>
    </row>
    <row r="47" spans="1:12" ht="30" customHeight="1" x14ac:dyDescent="0.25">
      <c r="A47" s="5" t="s">
        <v>2912</v>
      </c>
      <c r="B47" s="2" t="s">
        <v>2913</v>
      </c>
      <c r="C47" s="3">
        <v>1</v>
      </c>
      <c r="D47" s="6">
        <v>14.99</v>
      </c>
      <c r="E47" s="3">
        <v>31371</v>
      </c>
      <c r="F47" s="2"/>
      <c r="G47" s="7"/>
      <c r="H47" s="2" t="s">
        <v>2419</v>
      </c>
      <c r="I47" s="2" t="s">
        <v>2697</v>
      </c>
      <c r="J47" s="2" t="s">
        <v>2361</v>
      </c>
      <c r="K47" s="2"/>
      <c r="L47" s="8" t="str">
        <f>HYPERLINK("http://slimages.macys.com/is/image/MCY/8393618 ")</f>
        <v xml:space="preserve">http://slimages.macys.com/is/image/MCY/8393618 </v>
      </c>
    </row>
    <row r="48" spans="1:12" ht="30" customHeight="1" x14ac:dyDescent="0.25">
      <c r="A48" s="5" t="s">
        <v>2914</v>
      </c>
      <c r="B48" s="2" t="s">
        <v>2915</v>
      </c>
      <c r="C48" s="3">
        <v>1</v>
      </c>
      <c r="D48" s="6">
        <v>14.99</v>
      </c>
      <c r="E48" s="3" t="s">
        <v>2916</v>
      </c>
      <c r="F48" s="2" t="s">
        <v>2374</v>
      </c>
      <c r="G48" s="7" t="s">
        <v>2382</v>
      </c>
      <c r="H48" s="2" t="s">
        <v>2412</v>
      </c>
      <c r="I48" s="2" t="s">
        <v>2701</v>
      </c>
      <c r="J48" s="2" t="s">
        <v>2862</v>
      </c>
      <c r="K48" s="2" t="s">
        <v>2917</v>
      </c>
      <c r="L48" s="8" t="str">
        <f>HYPERLINK("http://slimages.macys.com/is/image/MCY/8355136 ")</f>
        <v xml:space="preserve">http://slimages.macys.com/is/image/MCY/8355136 </v>
      </c>
    </row>
    <row r="49" spans="1:12" ht="30" customHeight="1" x14ac:dyDescent="0.25">
      <c r="A49" s="5" t="s">
        <v>2918</v>
      </c>
      <c r="B49" s="2" t="s">
        <v>2919</v>
      </c>
      <c r="C49" s="3">
        <v>2</v>
      </c>
      <c r="D49" s="6">
        <v>24.99</v>
      </c>
      <c r="E49" s="3" t="s">
        <v>2920</v>
      </c>
      <c r="F49" s="2" t="s">
        <v>2374</v>
      </c>
      <c r="G49" s="7"/>
      <c r="H49" s="2" t="s">
        <v>2412</v>
      </c>
      <c r="I49" s="2" t="s">
        <v>2701</v>
      </c>
      <c r="J49" s="2" t="s">
        <v>2361</v>
      </c>
      <c r="K49" s="2"/>
      <c r="L49" s="8" t="str">
        <f>HYPERLINK("http://slimages.macys.com/is/image/MCY/13285715 ")</f>
        <v xml:space="preserve">http://slimages.macys.com/is/image/MCY/13285715 </v>
      </c>
    </row>
    <row r="50" spans="1:12" ht="30" customHeight="1" x14ac:dyDescent="0.25">
      <c r="A50" s="5" t="s">
        <v>2921</v>
      </c>
      <c r="B50" s="2" t="s">
        <v>2922</v>
      </c>
      <c r="C50" s="3">
        <v>1</v>
      </c>
      <c r="D50" s="6">
        <v>9.99</v>
      </c>
      <c r="E50" s="3" t="s">
        <v>2923</v>
      </c>
      <c r="F50" s="2" t="s">
        <v>2374</v>
      </c>
      <c r="G50" s="7"/>
      <c r="H50" s="2" t="s">
        <v>2446</v>
      </c>
      <c r="I50" s="2" t="s">
        <v>2547</v>
      </c>
      <c r="J50" s="2" t="s">
        <v>2361</v>
      </c>
      <c r="K50" s="2" t="s">
        <v>2924</v>
      </c>
      <c r="L50" s="8" t="str">
        <f>HYPERLINK("http://slimages.macys.com/is/image/MCY/9977746 ")</f>
        <v xml:space="preserve">http://slimages.macys.com/is/image/MCY/9977746 </v>
      </c>
    </row>
    <row r="51" spans="1:12" ht="30" customHeight="1" x14ac:dyDescent="0.25">
      <c r="A51" s="5" t="s">
        <v>2925</v>
      </c>
      <c r="B51" s="2" t="s">
        <v>2926</v>
      </c>
      <c r="C51" s="3">
        <v>1</v>
      </c>
      <c r="D51" s="6">
        <v>19.989999999999998</v>
      </c>
      <c r="E51" s="3">
        <v>1001059700</v>
      </c>
      <c r="F51" s="2" t="s">
        <v>2927</v>
      </c>
      <c r="G51" s="7" t="s">
        <v>2531</v>
      </c>
      <c r="H51" s="2" t="s">
        <v>2532</v>
      </c>
      <c r="I51" s="2" t="s">
        <v>2928</v>
      </c>
      <c r="J51" s="2" t="s">
        <v>2361</v>
      </c>
      <c r="K51" s="2"/>
      <c r="L51" s="8" t="str">
        <f>HYPERLINK("http://slimages.macys.com/is/image/MCY/9369374 ")</f>
        <v xml:space="preserve">http://slimages.macys.com/is/image/MCY/9369374 </v>
      </c>
    </row>
    <row r="52" spans="1:12" ht="30" customHeight="1" x14ac:dyDescent="0.25">
      <c r="A52" s="5" t="s">
        <v>2929</v>
      </c>
      <c r="B52" s="2" t="s">
        <v>2930</v>
      </c>
      <c r="C52" s="3">
        <v>9</v>
      </c>
      <c r="D52" s="6">
        <v>7.99</v>
      </c>
      <c r="E52" s="3" t="s">
        <v>2931</v>
      </c>
      <c r="F52" s="2" t="s">
        <v>2358</v>
      </c>
      <c r="G52" s="7"/>
      <c r="H52" s="2" t="s">
        <v>2446</v>
      </c>
      <c r="I52" s="2" t="s">
        <v>2932</v>
      </c>
      <c r="J52" s="2" t="s">
        <v>2361</v>
      </c>
      <c r="K52" s="2" t="s">
        <v>2448</v>
      </c>
      <c r="L52" s="8" t="str">
        <f>HYPERLINK("http://slimages.macys.com/is/image/MCY/14750362 ")</f>
        <v xml:space="preserve">http://slimages.macys.com/is/image/MCY/14750362 </v>
      </c>
    </row>
    <row r="53" spans="1:12" ht="30" customHeight="1" x14ac:dyDescent="0.25">
      <c r="A53" s="5" t="s">
        <v>2933</v>
      </c>
      <c r="B53" s="2" t="s">
        <v>2934</v>
      </c>
      <c r="C53" s="3">
        <v>1</v>
      </c>
      <c r="D53" s="6">
        <v>9.99</v>
      </c>
      <c r="E53" s="3" t="s">
        <v>2935</v>
      </c>
      <c r="F53" s="2" t="s">
        <v>2530</v>
      </c>
      <c r="G53" s="7" t="s">
        <v>2546</v>
      </c>
      <c r="H53" s="2" t="s">
        <v>2532</v>
      </c>
      <c r="I53" s="2" t="s">
        <v>2369</v>
      </c>
      <c r="J53" s="2" t="s">
        <v>2361</v>
      </c>
      <c r="K53" s="2" t="s">
        <v>2936</v>
      </c>
      <c r="L53" s="8" t="str">
        <f>HYPERLINK("http://slimages.macys.com/is/image/MCY/2544464 ")</f>
        <v xml:space="preserve">http://slimages.macys.com/is/image/MCY/2544464 </v>
      </c>
    </row>
    <row r="54" spans="1:12" ht="30" customHeight="1" x14ac:dyDescent="0.25">
      <c r="A54" s="5" t="s">
        <v>2937</v>
      </c>
      <c r="B54" s="2" t="s">
        <v>2938</v>
      </c>
      <c r="C54" s="3">
        <v>3</v>
      </c>
      <c r="D54" s="6">
        <v>5.99</v>
      </c>
      <c r="E54" s="3" t="s">
        <v>2939</v>
      </c>
      <c r="F54" s="2" t="s">
        <v>2358</v>
      </c>
      <c r="G54" s="7"/>
      <c r="H54" s="2" t="s">
        <v>2446</v>
      </c>
      <c r="I54" s="2" t="s">
        <v>2932</v>
      </c>
      <c r="J54" s="2" t="s">
        <v>2361</v>
      </c>
      <c r="K54" s="2" t="s">
        <v>2448</v>
      </c>
      <c r="L54" s="8" t="str">
        <f>HYPERLINK("http://slimages.macys.com/is/image/MCY/14750380 ")</f>
        <v xml:space="preserve">http://slimages.macys.com/is/image/MCY/14750380 </v>
      </c>
    </row>
    <row r="55" spans="1:12" ht="30" customHeight="1" x14ac:dyDescent="0.25">
      <c r="A55" s="5" t="s">
        <v>2940</v>
      </c>
      <c r="B55" s="2" t="s">
        <v>2941</v>
      </c>
      <c r="C55" s="3">
        <v>3</v>
      </c>
      <c r="D55" s="6">
        <v>3.99</v>
      </c>
      <c r="E55" s="3" t="s">
        <v>2942</v>
      </c>
      <c r="F55" s="2" t="s">
        <v>2358</v>
      </c>
      <c r="G55" s="7"/>
      <c r="H55" s="2" t="s">
        <v>2446</v>
      </c>
      <c r="I55" s="2" t="s">
        <v>2932</v>
      </c>
      <c r="J55" s="2" t="s">
        <v>2361</v>
      </c>
      <c r="K55" s="2" t="s">
        <v>2448</v>
      </c>
      <c r="L55" s="8" t="str">
        <f>HYPERLINK("http://slimages.macys.com/is/image/MCY/14750388 ")</f>
        <v xml:space="preserve">http://slimages.macys.com/is/image/MCY/14750388 </v>
      </c>
    </row>
    <row r="56" spans="1:12" ht="30" customHeight="1" x14ac:dyDescent="0.25">
      <c r="A56" s="5" t="s">
        <v>2943</v>
      </c>
      <c r="B56" s="2" t="s">
        <v>2944</v>
      </c>
      <c r="C56" s="3">
        <v>1</v>
      </c>
      <c r="D56" s="6">
        <v>120.96</v>
      </c>
      <c r="E56" s="3" t="s">
        <v>2945</v>
      </c>
      <c r="F56" s="2" t="s">
        <v>2440</v>
      </c>
      <c r="G56" s="7"/>
      <c r="H56" s="2" t="s">
        <v>2359</v>
      </c>
      <c r="I56" s="2" t="s">
        <v>2406</v>
      </c>
      <c r="J56" s="2"/>
      <c r="K56" s="2"/>
      <c r="L56" s="8"/>
    </row>
    <row r="57" spans="1:12" ht="30" customHeight="1" x14ac:dyDescent="0.25">
      <c r="A57" s="5" t="s">
        <v>2946</v>
      </c>
      <c r="B57" s="2" t="s">
        <v>2947</v>
      </c>
      <c r="C57" s="3">
        <v>1</v>
      </c>
      <c r="D57" s="6">
        <v>66.989999999999995</v>
      </c>
      <c r="E57" s="3" t="s">
        <v>2948</v>
      </c>
      <c r="F57" s="2" t="s">
        <v>2949</v>
      </c>
      <c r="G57" s="7"/>
      <c r="H57" s="2" t="s">
        <v>2359</v>
      </c>
      <c r="I57" s="2" t="s">
        <v>2950</v>
      </c>
      <c r="J57" s="2"/>
      <c r="K57" s="2"/>
      <c r="L57" s="8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B7" sqref="B7"/>
    </sheetView>
  </sheetViews>
  <sheetFormatPr defaultRowHeight="30" customHeight="1" x14ac:dyDescent="0.25"/>
  <cols>
    <col min="1" max="1" width="14.28515625" customWidth="1"/>
    <col min="2" max="2" width="28" customWidth="1"/>
    <col min="3" max="4" width="15" customWidth="1"/>
    <col min="5" max="5" width="14.8554687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2951</v>
      </c>
      <c r="B2" s="2" t="s">
        <v>2952</v>
      </c>
      <c r="C2" s="3">
        <v>1</v>
      </c>
      <c r="D2" s="6">
        <v>249.99</v>
      </c>
      <c r="E2" s="3">
        <v>64108614</v>
      </c>
      <c r="F2" s="2" t="s">
        <v>2953</v>
      </c>
      <c r="G2" s="7"/>
      <c r="H2" s="2" t="s">
        <v>2465</v>
      </c>
      <c r="I2" s="2" t="s">
        <v>2954</v>
      </c>
      <c r="J2" s="2" t="s">
        <v>2361</v>
      </c>
      <c r="K2" s="2" t="s">
        <v>2955</v>
      </c>
      <c r="L2" s="8" t="str">
        <f>HYPERLINK("http://slimages.macys.com/is/image/MCY/2517558 ")</f>
        <v xml:space="preserve">http://slimages.macys.com/is/image/MCY/2517558 </v>
      </c>
    </row>
    <row r="3" spans="1:12" ht="30" customHeight="1" x14ac:dyDescent="0.25">
      <c r="A3" s="5" t="s">
        <v>2956</v>
      </c>
      <c r="B3" s="2" t="s">
        <v>2957</v>
      </c>
      <c r="C3" s="3">
        <v>1</v>
      </c>
      <c r="D3" s="6">
        <v>249.99</v>
      </c>
      <c r="E3" s="3" t="s">
        <v>2958</v>
      </c>
      <c r="F3" s="2" t="s">
        <v>2374</v>
      </c>
      <c r="G3" s="7"/>
      <c r="H3" s="2" t="s">
        <v>2359</v>
      </c>
      <c r="I3" s="2" t="s">
        <v>2406</v>
      </c>
      <c r="J3" s="2" t="s">
        <v>2361</v>
      </c>
      <c r="K3" s="2" t="s">
        <v>2959</v>
      </c>
      <c r="L3" s="8" t="str">
        <f>HYPERLINK("http://slimages.macys.com/is/image/MCY/12490746 ")</f>
        <v xml:space="preserve">http://slimages.macys.com/is/image/MCY/12490746 </v>
      </c>
    </row>
    <row r="4" spans="1:12" ht="30" customHeight="1" x14ac:dyDescent="0.25">
      <c r="A4" s="5" t="s">
        <v>2960</v>
      </c>
      <c r="B4" s="2" t="s">
        <v>2961</v>
      </c>
      <c r="C4" s="3">
        <v>1</v>
      </c>
      <c r="D4" s="6">
        <v>159.99</v>
      </c>
      <c r="E4" s="3" t="s">
        <v>2962</v>
      </c>
      <c r="F4" s="2" t="s">
        <v>2517</v>
      </c>
      <c r="G4" s="7"/>
      <c r="H4" s="2" t="s">
        <v>2359</v>
      </c>
      <c r="I4" s="2" t="s">
        <v>2406</v>
      </c>
      <c r="J4" s="2" t="s">
        <v>2361</v>
      </c>
      <c r="K4" s="2"/>
      <c r="L4" s="8" t="str">
        <f>HYPERLINK("http://slimages.macys.com/is/image/MCY/8930125 ")</f>
        <v xml:space="preserve">http://slimages.macys.com/is/image/MCY/8930125 </v>
      </c>
    </row>
    <row r="5" spans="1:12" ht="30" customHeight="1" x14ac:dyDescent="0.25">
      <c r="A5" s="5" t="s">
        <v>2963</v>
      </c>
      <c r="B5" s="2" t="s">
        <v>2964</v>
      </c>
      <c r="C5" s="3">
        <v>1</v>
      </c>
      <c r="D5" s="6">
        <v>113.99</v>
      </c>
      <c r="E5" s="3" t="s">
        <v>2965</v>
      </c>
      <c r="F5" s="2" t="s">
        <v>2768</v>
      </c>
      <c r="G5" s="7"/>
      <c r="H5" s="2" t="s">
        <v>2419</v>
      </c>
      <c r="I5" s="2" t="s">
        <v>2406</v>
      </c>
      <c r="J5" s="2" t="s">
        <v>2361</v>
      </c>
      <c r="K5" s="2" t="s">
        <v>2966</v>
      </c>
      <c r="L5" s="8" t="str">
        <f>HYPERLINK("http://slimages.macys.com/is/image/MCY/14431845 ")</f>
        <v xml:space="preserve">http://slimages.macys.com/is/image/MCY/14431845 </v>
      </c>
    </row>
    <row r="6" spans="1:12" ht="30" customHeight="1" x14ac:dyDescent="0.25">
      <c r="A6" s="5" t="s">
        <v>2967</v>
      </c>
      <c r="B6" s="2" t="s">
        <v>2968</v>
      </c>
      <c r="C6" s="3">
        <v>1</v>
      </c>
      <c r="D6" s="6">
        <v>93.99</v>
      </c>
      <c r="E6" s="3" t="s">
        <v>2969</v>
      </c>
      <c r="F6" s="2" t="s">
        <v>2488</v>
      </c>
      <c r="G6" s="7"/>
      <c r="H6" s="2" t="s">
        <v>2419</v>
      </c>
      <c r="I6" s="2" t="s">
        <v>2406</v>
      </c>
      <c r="J6" s="2" t="s">
        <v>2361</v>
      </c>
      <c r="K6" s="2" t="s">
        <v>2970</v>
      </c>
      <c r="L6" s="8" t="str">
        <f>HYPERLINK("http://slimages.macys.com/is/image/MCY/10028055 ")</f>
        <v xml:space="preserve">http://slimages.macys.com/is/image/MCY/10028055 </v>
      </c>
    </row>
    <row r="7" spans="1:12" ht="30" customHeight="1" x14ac:dyDescent="0.25">
      <c r="A7" s="5" t="s">
        <v>2971</v>
      </c>
      <c r="B7" s="2" t="s">
        <v>2972</v>
      </c>
      <c r="C7" s="3">
        <v>1</v>
      </c>
      <c r="D7" s="6">
        <v>139.99</v>
      </c>
      <c r="E7" s="3" t="s">
        <v>2973</v>
      </c>
      <c r="F7" s="2" t="s">
        <v>2358</v>
      </c>
      <c r="G7" s="7" t="s">
        <v>2367</v>
      </c>
      <c r="H7" s="2" t="s">
        <v>2368</v>
      </c>
      <c r="I7" s="2" t="s">
        <v>2369</v>
      </c>
      <c r="J7" s="2" t="s">
        <v>2361</v>
      </c>
      <c r="K7" s="2"/>
      <c r="L7" s="8" t="str">
        <f>HYPERLINK("http://slimages.macys.com/is/image/MCY/8210589 ")</f>
        <v xml:space="preserve">http://slimages.macys.com/is/image/MCY/8210589 </v>
      </c>
    </row>
    <row r="8" spans="1:12" ht="30" customHeight="1" x14ac:dyDescent="0.25">
      <c r="A8" s="5" t="s">
        <v>2974</v>
      </c>
      <c r="B8" s="2" t="s">
        <v>2975</v>
      </c>
      <c r="C8" s="3">
        <v>1</v>
      </c>
      <c r="D8" s="6">
        <v>93.99</v>
      </c>
      <c r="E8" s="3" t="s">
        <v>2976</v>
      </c>
      <c r="F8" s="2" t="s">
        <v>2374</v>
      </c>
      <c r="G8" s="7" t="s">
        <v>2977</v>
      </c>
      <c r="H8" s="2" t="s">
        <v>2412</v>
      </c>
      <c r="I8" s="2" t="s">
        <v>2788</v>
      </c>
      <c r="J8" s="2" t="s">
        <v>2361</v>
      </c>
      <c r="K8" s="2" t="s">
        <v>2441</v>
      </c>
      <c r="L8" s="8" t="str">
        <f>HYPERLINK("http://slimages.macys.com/is/image/MCY/11798804 ")</f>
        <v xml:space="preserve">http://slimages.macys.com/is/image/MCY/11798804 </v>
      </c>
    </row>
    <row r="9" spans="1:12" ht="30" customHeight="1" x14ac:dyDescent="0.25">
      <c r="A9" s="5" t="s">
        <v>2978</v>
      </c>
      <c r="B9" s="2" t="s">
        <v>2979</v>
      </c>
      <c r="C9" s="3">
        <v>1</v>
      </c>
      <c r="D9" s="6">
        <v>89.99</v>
      </c>
      <c r="E9" s="3" t="s">
        <v>2980</v>
      </c>
      <c r="F9" s="2" t="s">
        <v>2622</v>
      </c>
      <c r="G9" s="7"/>
      <c r="H9" s="2" t="s">
        <v>2359</v>
      </c>
      <c r="I9" s="2" t="s">
        <v>2406</v>
      </c>
      <c r="J9" s="2" t="s">
        <v>2361</v>
      </c>
      <c r="K9" s="2" t="s">
        <v>2776</v>
      </c>
      <c r="L9" s="8" t="str">
        <f>HYPERLINK("http://slimages.macys.com/is/image/MCY/12054801 ")</f>
        <v xml:space="preserve">http://slimages.macys.com/is/image/MCY/12054801 </v>
      </c>
    </row>
    <row r="10" spans="1:12" ht="30" customHeight="1" x14ac:dyDescent="0.25">
      <c r="A10" s="5" t="s">
        <v>2981</v>
      </c>
      <c r="B10" s="2" t="s">
        <v>2982</v>
      </c>
      <c r="C10" s="3">
        <v>1</v>
      </c>
      <c r="D10" s="6">
        <v>89.99</v>
      </c>
      <c r="E10" s="3" t="s">
        <v>2983</v>
      </c>
      <c r="F10" s="2" t="s">
        <v>2582</v>
      </c>
      <c r="G10" s="7"/>
      <c r="H10" s="2" t="s">
        <v>2984</v>
      </c>
      <c r="I10" s="2" t="s">
        <v>2985</v>
      </c>
      <c r="J10" s="2" t="s">
        <v>2361</v>
      </c>
      <c r="K10" s="2" t="s">
        <v>2986</v>
      </c>
      <c r="L10" s="8" t="str">
        <f>HYPERLINK("http://slimages.macys.com/is/image/MCY/9936616 ")</f>
        <v xml:space="preserve">http://slimages.macys.com/is/image/MCY/9936616 </v>
      </c>
    </row>
    <row r="11" spans="1:12" ht="30" customHeight="1" x14ac:dyDescent="0.25">
      <c r="A11" s="5" t="s">
        <v>2987</v>
      </c>
      <c r="B11" s="2" t="s">
        <v>2988</v>
      </c>
      <c r="C11" s="3">
        <v>1</v>
      </c>
      <c r="D11" s="6">
        <v>67.989999999999995</v>
      </c>
      <c r="E11" s="3" t="s">
        <v>2989</v>
      </c>
      <c r="F11" s="2" t="s">
        <v>2374</v>
      </c>
      <c r="G11" s="7" t="s">
        <v>2990</v>
      </c>
      <c r="H11" s="2" t="s">
        <v>2412</v>
      </c>
      <c r="I11" s="2" t="s">
        <v>2788</v>
      </c>
      <c r="J11" s="2" t="s">
        <v>2789</v>
      </c>
      <c r="K11" s="2" t="s">
        <v>2991</v>
      </c>
      <c r="L11" s="8" t="str">
        <f>HYPERLINK("http://slimages.macys.com/is/image/MCY/11798186 ")</f>
        <v xml:space="preserve">http://slimages.macys.com/is/image/MCY/11798186 </v>
      </c>
    </row>
    <row r="12" spans="1:12" ht="30" customHeight="1" x14ac:dyDescent="0.25">
      <c r="A12" s="5" t="s">
        <v>2992</v>
      </c>
      <c r="B12" s="2" t="s">
        <v>2993</v>
      </c>
      <c r="C12" s="3">
        <v>1</v>
      </c>
      <c r="D12" s="6">
        <v>62.99</v>
      </c>
      <c r="E12" s="3" t="s">
        <v>2994</v>
      </c>
      <c r="F12" s="2" t="s">
        <v>2374</v>
      </c>
      <c r="G12" s="7" t="s">
        <v>2995</v>
      </c>
      <c r="H12" s="2" t="s">
        <v>2412</v>
      </c>
      <c r="I12" s="2" t="s">
        <v>2788</v>
      </c>
      <c r="J12" s="2" t="s">
        <v>2361</v>
      </c>
      <c r="K12" s="2" t="s">
        <v>2656</v>
      </c>
      <c r="L12" s="8" t="str">
        <f>HYPERLINK("http://slimages.macys.com/is/image/MCY/11798760 ")</f>
        <v xml:space="preserve">http://slimages.macys.com/is/image/MCY/11798760 </v>
      </c>
    </row>
    <row r="13" spans="1:12" ht="30" customHeight="1" x14ac:dyDescent="0.25">
      <c r="A13" s="5" t="s">
        <v>2996</v>
      </c>
      <c r="B13" s="2" t="s">
        <v>2997</v>
      </c>
      <c r="C13" s="3">
        <v>2</v>
      </c>
      <c r="D13" s="6">
        <v>79.989999999999995</v>
      </c>
      <c r="E13" s="3">
        <v>10001968900</v>
      </c>
      <c r="F13" s="2" t="s">
        <v>2418</v>
      </c>
      <c r="G13" s="7"/>
      <c r="H13" s="2" t="s">
        <v>2388</v>
      </c>
      <c r="I13" s="2" t="s">
        <v>2998</v>
      </c>
      <c r="J13" s="2" t="s">
        <v>2361</v>
      </c>
      <c r="K13" s="2" t="s">
        <v>2999</v>
      </c>
      <c r="L13" s="8" t="str">
        <f>HYPERLINK("http://slimages.macys.com/is/image/MCY/14788715 ")</f>
        <v xml:space="preserve">http://slimages.macys.com/is/image/MCY/14788715 </v>
      </c>
    </row>
    <row r="14" spans="1:12" ht="30" customHeight="1" x14ac:dyDescent="0.25">
      <c r="A14" s="5" t="s">
        <v>3000</v>
      </c>
      <c r="B14" s="2" t="s">
        <v>3001</v>
      </c>
      <c r="C14" s="3">
        <v>1</v>
      </c>
      <c r="D14" s="6">
        <v>69.989999999999995</v>
      </c>
      <c r="E14" s="3" t="s">
        <v>3002</v>
      </c>
      <c r="F14" s="2" t="s">
        <v>2381</v>
      </c>
      <c r="G14" s="7"/>
      <c r="H14" s="2" t="s">
        <v>2359</v>
      </c>
      <c r="I14" s="2" t="s">
        <v>2406</v>
      </c>
      <c r="J14" s="2" t="s">
        <v>2361</v>
      </c>
      <c r="K14" s="2" t="s">
        <v>3003</v>
      </c>
      <c r="L14" s="8" t="str">
        <f>HYPERLINK("http://slimages.macys.com/is/image/MCY/9566779 ")</f>
        <v xml:space="preserve">http://slimages.macys.com/is/image/MCY/9566779 </v>
      </c>
    </row>
    <row r="15" spans="1:12" ht="30" customHeight="1" x14ac:dyDescent="0.25">
      <c r="A15" s="5" t="s">
        <v>3004</v>
      </c>
      <c r="B15" s="2" t="s">
        <v>2993</v>
      </c>
      <c r="C15" s="3">
        <v>1</v>
      </c>
      <c r="D15" s="6">
        <v>53.99</v>
      </c>
      <c r="E15" s="3" t="s">
        <v>3005</v>
      </c>
      <c r="F15" s="2" t="s">
        <v>2374</v>
      </c>
      <c r="G15" s="7" t="s">
        <v>2977</v>
      </c>
      <c r="H15" s="2" t="s">
        <v>2412</v>
      </c>
      <c r="I15" s="2" t="s">
        <v>2788</v>
      </c>
      <c r="J15" s="2" t="s">
        <v>2361</v>
      </c>
      <c r="K15" s="2" t="s">
        <v>2656</v>
      </c>
      <c r="L15" s="8" t="str">
        <f>HYPERLINK("http://slimages.macys.com/is/image/MCY/11798755 ")</f>
        <v xml:space="preserve">http://slimages.macys.com/is/image/MCY/11798755 </v>
      </c>
    </row>
    <row r="16" spans="1:12" ht="30" customHeight="1" x14ac:dyDescent="0.25">
      <c r="A16" s="5" t="s">
        <v>3006</v>
      </c>
      <c r="B16" s="2" t="s">
        <v>3007</v>
      </c>
      <c r="C16" s="3">
        <v>2</v>
      </c>
      <c r="D16" s="6">
        <v>57.99</v>
      </c>
      <c r="E16" s="3" t="s">
        <v>3008</v>
      </c>
      <c r="F16" s="2" t="s">
        <v>2582</v>
      </c>
      <c r="G16" s="7" t="s">
        <v>3009</v>
      </c>
      <c r="H16" s="2" t="s">
        <v>2419</v>
      </c>
      <c r="I16" s="2" t="s">
        <v>2583</v>
      </c>
      <c r="J16" s="2" t="s">
        <v>2361</v>
      </c>
      <c r="K16" s="2" t="s">
        <v>2377</v>
      </c>
      <c r="L16" s="8" t="str">
        <f>HYPERLINK("http://slimages.macys.com/is/image/MCY/12225157 ")</f>
        <v xml:space="preserve">http://slimages.macys.com/is/image/MCY/12225157 </v>
      </c>
    </row>
    <row r="17" spans="1:12" ht="30" customHeight="1" x14ac:dyDescent="0.25">
      <c r="A17" s="5" t="s">
        <v>3010</v>
      </c>
      <c r="B17" s="2" t="s">
        <v>3011</v>
      </c>
      <c r="C17" s="3">
        <v>1</v>
      </c>
      <c r="D17" s="6">
        <v>54.99</v>
      </c>
      <c r="E17" s="3" t="s">
        <v>3012</v>
      </c>
      <c r="F17" s="2" t="s">
        <v>2597</v>
      </c>
      <c r="G17" s="7"/>
      <c r="H17" s="2" t="s">
        <v>2473</v>
      </c>
      <c r="I17" s="2" t="s">
        <v>3013</v>
      </c>
      <c r="J17" s="2" t="s">
        <v>2361</v>
      </c>
      <c r="K17" s="2"/>
      <c r="L17" s="8" t="str">
        <f>HYPERLINK("http://slimages.macys.com/is/image/MCY/8784479 ")</f>
        <v xml:space="preserve">http://slimages.macys.com/is/image/MCY/8784479 </v>
      </c>
    </row>
    <row r="18" spans="1:12" ht="30" customHeight="1" x14ac:dyDescent="0.25">
      <c r="A18" s="5" t="s">
        <v>3014</v>
      </c>
      <c r="B18" s="2" t="s">
        <v>3015</v>
      </c>
      <c r="C18" s="3">
        <v>3</v>
      </c>
      <c r="D18" s="6">
        <v>42.99</v>
      </c>
      <c r="E18" s="3" t="s">
        <v>3016</v>
      </c>
      <c r="F18" s="2" t="s">
        <v>2394</v>
      </c>
      <c r="G18" s="7"/>
      <c r="H18" s="2" t="s">
        <v>2419</v>
      </c>
      <c r="I18" s="2" t="s">
        <v>2406</v>
      </c>
      <c r="J18" s="2" t="s">
        <v>2361</v>
      </c>
      <c r="K18" s="2" t="s">
        <v>2377</v>
      </c>
      <c r="L18" s="8" t="str">
        <f>HYPERLINK("http://slimages.macys.com/is/image/MCY/9911209 ")</f>
        <v xml:space="preserve">http://slimages.macys.com/is/image/MCY/9911209 </v>
      </c>
    </row>
    <row r="19" spans="1:12" ht="30" customHeight="1" x14ac:dyDescent="0.25">
      <c r="A19" s="5" t="s">
        <v>3017</v>
      </c>
      <c r="B19" s="2" t="s">
        <v>3018</v>
      </c>
      <c r="C19" s="3">
        <v>1</v>
      </c>
      <c r="D19" s="6">
        <v>44.99</v>
      </c>
      <c r="E19" s="3" t="s">
        <v>3019</v>
      </c>
      <c r="F19" s="2" t="s">
        <v>2374</v>
      </c>
      <c r="G19" s="7" t="s">
        <v>3020</v>
      </c>
      <c r="H19" s="2" t="s">
        <v>2412</v>
      </c>
      <c r="I19" s="2" t="s">
        <v>2788</v>
      </c>
      <c r="J19" s="2" t="s">
        <v>2361</v>
      </c>
      <c r="K19" s="2" t="s">
        <v>2656</v>
      </c>
      <c r="L19" s="8" t="str">
        <f>HYPERLINK("http://slimages.macys.com/is/image/MCY/11798735 ")</f>
        <v xml:space="preserve">http://slimages.macys.com/is/image/MCY/11798735 </v>
      </c>
    </row>
    <row r="20" spans="1:12" ht="30" customHeight="1" x14ac:dyDescent="0.25">
      <c r="A20" s="5" t="s">
        <v>3021</v>
      </c>
      <c r="B20" s="2" t="s">
        <v>3022</v>
      </c>
      <c r="C20" s="3">
        <v>1</v>
      </c>
      <c r="D20" s="6">
        <v>29.99</v>
      </c>
      <c r="E20" s="3" t="s">
        <v>3023</v>
      </c>
      <c r="F20" s="2" t="s">
        <v>3024</v>
      </c>
      <c r="G20" s="7" t="s">
        <v>2382</v>
      </c>
      <c r="H20" s="2" t="s">
        <v>2459</v>
      </c>
      <c r="I20" s="2" t="s">
        <v>3025</v>
      </c>
      <c r="J20" s="2" t="s">
        <v>2361</v>
      </c>
      <c r="K20" s="2"/>
      <c r="L20" s="8" t="str">
        <f>HYPERLINK("http://slimages.macys.com/is/image/MCY/8770751 ")</f>
        <v xml:space="preserve">http://slimages.macys.com/is/image/MCY/8770751 </v>
      </c>
    </row>
    <row r="21" spans="1:12" ht="30" customHeight="1" x14ac:dyDescent="0.25">
      <c r="A21" s="5" t="s">
        <v>3026</v>
      </c>
      <c r="B21" s="2" t="s">
        <v>2993</v>
      </c>
      <c r="C21" s="3">
        <v>1</v>
      </c>
      <c r="D21" s="6">
        <v>41.99</v>
      </c>
      <c r="E21" s="3" t="s">
        <v>3027</v>
      </c>
      <c r="F21" s="2" t="s">
        <v>2374</v>
      </c>
      <c r="G21" s="7" t="s">
        <v>3028</v>
      </c>
      <c r="H21" s="2" t="s">
        <v>2412</v>
      </c>
      <c r="I21" s="2" t="s">
        <v>2788</v>
      </c>
      <c r="J21" s="2" t="s">
        <v>2361</v>
      </c>
      <c r="K21" s="2" t="s">
        <v>2656</v>
      </c>
      <c r="L21" s="8" t="str">
        <f>HYPERLINK("http://slimages.macys.com/is/image/MCY/11798747 ")</f>
        <v xml:space="preserve">http://slimages.macys.com/is/image/MCY/11798747 </v>
      </c>
    </row>
    <row r="22" spans="1:12" ht="30" customHeight="1" x14ac:dyDescent="0.25">
      <c r="A22" s="5" t="s">
        <v>3029</v>
      </c>
      <c r="B22" s="2" t="s">
        <v>3030</v>
      </c>
      <c r="C22" s="3">
        <v>1</v>
      </c>
      <c r="D22" s="6">
        <v>47.99</v>
      </c>
      <c r="E22" s="3" t="s">
        <v>3031</v>
      </c>
      <c r="F22" s="2" t="s">
        <v>2506</v>
      </c>
      <c r="G22" s="7"/>
      <c r="H22" s="2" t="s">
        <v>2419</v>
      </c>
      <c r="I22" s="2" t="s">
        <v>3032</v>
      </c>
      <c r="J22" s="2" t="s">
        <v>2361</v>
      </c>
      <c r="K22" s="2" t="s">
        <v>2377</v>
      </c>
      <c r="L22" s="8" t="str">
        <f>HYPERLINK("http://slimages.macys.com/is/image/MCY/12887416 ")</f>
        <v xml:space="preserve">http://slimages.macys.com/is/image/MCY/12887416 </v>
      </c>
    </row>
    <row r="23" spans="1:12" ht="30" customHeight="1" x14ac:dyDescent="0.25">
      <c r="A23" s="5" t="s">
        <v>3033</v>
      </c>
      <c r="B23" s="2" t="s">
        <v>2476</v>
      </c>
      <c r="C23" s="3">
        <v>4</v>
      </c>
      <c r="D23" s="6">
        <v>59.99</v>
      </c>
      <c r="E23" s="3" t="s">
        <v>3034</v>
      </c>
      <c r="F23" s="2" t="s">
        <v>2381</v>
      </c>
      <c r="G23" s="7" t="s">
        <v>2478</v>
      </c>
      <c r="H23" s="2" t="s">
        <v>2473</v>
      </c>
      <c r="I23" s="2" t="s">
        <v>2479</v>
      </c>
      <c r="J23" s="2" t="s">
        <v>2361</v>
      </c>
      <c r="K23" s="2"/>
      <c r="L23" s="8" t="str">
        <f>HYPERLINK("http://slimages.macys.com/is/image/MCY/15202993 ")</f>
        <v xml:space="preserve">http://slimages.macys.com/is/image/MCY/15202993 </v>
      </c>
    </row>
    <row r="24" spans="1:12" ht="30" customHeight="1" x14ac:dyDescent="0.25">
      <c r="A24" s="5" t="s">
        <v>2475</v>
      </c>
      <c r="B24" s="2" t="s">
        <v>2476</v>
      </c>
      <c r="C24" s="3">
        <v>3</v>
      </c>
      <c r="D24" s="6">
        <v>59.99</v>
      </c>
      <c r="E24" s="3" t="s">
        <v>2477</v>
      </c>
      <c r="F24" s="2" t="s">
        <v>2440</v>
      </c>
      <c r="G24" s="7" t="s">
        <v>2478</v>
      </c>
      <c r="H24" s="2" t="s">
        <v>2473</v>
      </c>
      <c r="I24" s="2" t="s">
        <v>2479</v>
      </c>
      <c r="J24" s="2" t="s">
        <v>2361</v>
      </c>
      <c r="K24" s="2"/>
      <c r="L24" s="8" t="str">
        <f>HYPERLINK("http://slimages.macys.com/is/image/MCY/15202993 ")</f>
        <v xml:space="preserve">http://slimages.macys.com/is/image/MCY/15202993 </v>
      </c>
    </row>
    <row r="25" spans="1:12" ht="30" customHeight="1" x14ac:dyDescent="0.25">
      <c r="A25" s="5" t="s">
        <v>2638</v>
      </c>
      <c r="B25" s="2" t="s">
        <v>2476</v>
      </c>
      <c r="C25" s="3">
        <v>2</v>
      </c>
      <c r="D25" s="6">
        <v>59.99</v>
      </c>
      <c r="E25" s="3" t="s">
        <v>2639</v>
      </c>
      <c r="F25" s="2" t="s">
        <v>2640</v>
      </c>
      <c r="G25" s="7" t="s">
        <v>2478</v>
      </c>
      <c r="H25" s="2" t="s">
        <v>2473</v>
      </c>
      <c r="I25" s="2" t="s">
        <v>2479</v>
      </c>
      <c r="J25" s="2" t="s">
        <v>2361</v>
      </c>
      <c r="K25" s="2"/>
      <c r="L25" s="8" t="str">
        <f>HYPERLINK("http://slimages.macys.com/is/image/MCY/15202993 ")</f>
        <v xml:space="preserve">http://slimages.macys.com/is/image/MCY/15202993 </v>
      </c>
    </row>
    <row r="26" spans="1:12" ht="30" customHeight="1" x14ac:dyDescent="0.25">
      <c r="A26" s="5" t="s">
        <v>3035</v>
      </c>
      <c r="B26" s="2" t="s">
        <v>3036</v>
      </c>
      <c r="C26" s="3">
        <v>1</v>
      </c>
      <c r="D26" s="6">
        <v>34.99</v>
      </c>
      <c r="E26" s="3" t="s">
        <v>3037</v>
      </c>
      <c r="F26" s="2" t="s">
        <v>3038</v>
      </c>
      <c r="G26" s="7" t="s">
        <v>3039</v>
      </c>
      <c r="H26" s="2" t="s">
        <v>2419</v>
      </c>
      <c r="I26" s="2" t="s">
        <v>2950</v>
      </c>
      <c r="J26" s="2" t="s">
        <v>2361</v>
      </c>
      <c r="K26" s="2"/>
      <c r="L26" s="8" t="str">
        <f>HYPERLINK("http://slimages.macys.com/is/image/MCY/16008349 ")</f>
        <v xml:space="preserve">http://slimages.macys.com/is/image/MCY/16008349 </v>
      </c>
    </row>
    <row r="27" spans="1:12" ht="30" customHeight="1" x14ac:dyDescent="0.25">
      <c r="A27" s="5" t="s">
        <v>3040</v>
      </c>
      <c r="B27" s="2" t="s">
        <v>3041</v>
      </c>
      <c r="C27" s="3">
        <v>3</v>
      </c>
      <c r="D27" s="6">
        <v>39.99</v>
      </c>
      <c r="E27" s="3" t="s">
        <v>3042</v>
      </c>
      <c r="F27" s="2" t="s">
        <v>3024</v>
      </c>
      <c r="G27" s="7"/>
      <c r="H27" s="2" t="s">
        <v>2459</v>
      </c>
      <c r="I27" s="2" t="s">
        <v>2406</v>
      </c>
      <c r="J27" s="2" t="s">
        <v>2432</v>
      </c>
      <c r="K27" s="2" t="s">
        <v>2377</v>
      </c>
      <c r="L27" s="8" t="str">
        <f>HYPERLINK("http://slimages.macys.com/is/image/MCY/11703270 ")</f>
        <v xml:space="preserve">http://slimages.macys.com/is/image/MCY/11703270 </v>
      </c>
    </row>
    <row r="28" spans="1:12" ht="30" customHeight="1" x14ac:dyDescent="0.25">
      <c r="A28" s="5" t="s">
        <v>3043</v>
      </c>
      <c r="B28" s="2" t="s">
        <v>3044</v>
      </c>
      <c r="C28" s="3">
        <v>5</v>
      </c>
      <c r="D28" s="6">
        <v>39.99</v>
      </c>
      <c r="E28" s="3" t="s">
        <v>3045</v>
      </c>
      <c r="F28" s="2" t="s">
        <v>2605</v>
      </c>
      <c r="G28" s="7"/>
      <c r="H28" s="2" t="s">
        <v>2459</v>
      </c>
      <c r="I28" s="2" t="s">
        <v>2406</v>
      </c>
      <c r="J28" s="2" t="s">
        <v>2361</v>
      </c>
      <c r="K28" s="2" t="s">
        <v>3046</v>
      </c>
      <c r="L28" s="8" t="str">
        <f>HYPERLINK("http://slimages.macys.com/is/image/MCY/10044363 ")</f>
        <v xml:space="preserve">http://slimages.macys.com/is/image/MCY/10044363 </v>
      </c>
    </row>
    <row r="29" spans="1:12" ht="30" customHeight="1" x14ac:dyDescent="0.25">
      <c r="A29" s="5" t="s">
        <v>3047</v>
      </c>
      <c r="B29" s="2" t="s">
        <v>3048</v>
      </c>
      <c r="C29" s="3">
        <v>1</v>
      </c>
      <c r="D29" s="6">
        <v>29.99</v>
      </c>
      <c r="E29" s="3" t="s">
        <v>3049</v>
      </c>
      <c r="F29" s="2" t="s">
        <v>2394</v>
      </c>
      <c r="G29" s="7" t="s">
        <v>3050</v>
      </c>
      <c r="H29" s="2" t="s">
        <v>2419</v>
      </c>
      <c r="I29" s="2" t="s">
        <v>2950</v>
      </c>
      <c r="J29" s="2" t="s">
        <v>2361</v>
      </c>
      <c r="K29" s="2"/>
      <c r="L29" s="8" t="str">
        <f>HYPERLINK("http://slimages.macys.com/is/image/MCY/13531743 ")</f>
        <v xml:space="preserve">http://slimages.macys.com/is/image/MCY/13531743 </v>
      </c>
    </row>
    <row r="30" spans="1:12" ht="30" customHeight="1" x14ac:dyDescent="0.25">
      <c r="A30" s="5" t="s">
        <v>3051</v>
      </c>
      <c r="B30" s="2" t="s">
        <v>3052</v>
      </c>
      <c r="C30" s="3">
        <v>1</v>
      </c>
      <c r="D30" s="6">
        <v>27.99</v>
      </c>
      <c r="E30" s="3" t="s">
        <v>3053</v>
      </c>
      <c r="F30" s="2" t="s">
        <v>2374</v>
      </c>
      <c r="G30" s="7"/>
      <c r="H30" s="2" t="s">
        <v>2419</v>
      </c>
      <c r="I30" s="2" t="s">
        <v>3054</v>
      </c>
      <c r="J30" s="2" t="s">
        <v>2361</v>
      </c>
      <c r="K30" s="2" t="s">
        <v>3055</v>
      </c>
      <c r="L30" s="8" t="str">
        <f>HYPERLINK("http://slimages.macys.com/is/image/MCY/9537284 ")</f>
        <v xml:space="preserve">http://slimages.macys.com/is/image/MCY/9537284 </v>
      </c>
    </row>
    <row r="31" spans="1:12" ht="30" customHeight="1" x14ac:dyDescent="0.25">
      <c r="A31" s="5" t="s">
        <v>3056</v>
      </c>
      <c r="B31" s="2" t="s">
        <v>3057</v>
      </c>
      <c r="C31" s="3">
        <v>1</v>
      </c>
      <c r="D31" s="6">
        <v>39.99</v>
      </c>
      <c r="E31" s="3">
        <v>100048757</v>
      </c>
      <c r="F31" s="2" t="s">
        <v>2401</v>
      </c>
      <c r="G31" s="7" t="s">
        <v>3058</v>
      </c>
      <c r="H31" s="2" t="s">
        <v>2984</v>
      </c>
      <c r="I31" s="2" t="s">
        <v>3059</v>
      </c>
      <c r="J31" s="2" t="s">
        <v>2361</v>
      </c>
      <c r="K31" s="2" t="s">
        <v>3060</v>
      </c>
      <c r="L31" s="8" t="str">
        <f>HYPERLINK("http://slimages.macys.com/is/image/MCY/11639850 ")</f>
        <v xml:space="preserve">http://slimages.macys.com/is/image/MCY/11639850 </v>
      </c>
    </row>
    <row r="32" spans="1:12" ht="30" customHeight="1" x14ac:dyDescent="0.25">
      <c r="A32" s="5" t="s">
        <v>3061</v>
      </c>
      <c r="B32" s="2" t="s">
        <v>3062</v>
      </c>
      <c r="C32" s="3">
        <v>2</v>
      </c>
      <c r="D32" s="6">
        <v>48.99</v>
      </c>
      <c r="E32" s="3" t="s">
        <v>3063</v>
      </c>
      <c r="F32" s="2" t="s">
        <v>2440</v>
      </c>
      <c r="G32" s="7"/>
      <c r="H32" s="2" t="s">
        <v>2419</v>
      </c>
      <c r="I32" s="2" t="s">
        <v>2632</v>
      </c>
      <c r="J32" s="2" t="s">
        <v>2361</v>
      </c>
      <c r="K32" s="2" t="s">
        <v>2377</v>
      </c>
      <c r="L32" s="8" t="str">
        <f>HYPERLINK("http://slimages.macys.com/is/image/MCY/15862824 ")</f>
        <v xml:space="preserve">http://slimages.macys.com/is/image/MCY/15862824 </v>
      </c>
    </row>
    <row r="33" spans="1:12" ht="30" customHeight="1" x14ac:dyDescent="0.25">
      <c r="A33" s="5" t="s">
        <v>3064</v>
      </c>
      <c r="B33" s="2" t="s">
        <v>3065</v>
      </c>
      <c r="C33" s="3">
        <v>1</v>
      </c>
      <c r="D33" s="6">
        <v>29.99</v>
      </c>
      <c r="E33" s="3" t="s">
        <v>3066</v>
      </c>
      <c r="F33" s="2" t="s">
        <v>2424</v>
      </c>
      <c r="G33" s="7"/>
      <c r="H33" s="2" t="s">
        <v>2459</v>
      </c>
      <c r="I33" s="2" t="s">
        <v>2406</v>
      </c>
      <c r="J33" s="2" t="s">
        <v>2361</v>
      </c>
      <c r="K33" s="2" t="s">
        <v>3067</v>
      </c>
      <c r="L33" s="8" t="str">
        <f>HYPERLINK("http://slimages.macys.com/is/image/MCY/11703282 ")</f>
        <v xml:space="preserve">http://slimages.macys.com/is/image/MCY/11703282 </v>
      </c>
    </row>
    <row r="34" spans="1:12" ht="30" customHeight="1" x14ac:dyDescent="0.25">
      <c r="A34" s="5" t="s">
        <v>3068</v>
      </c>
      <c r="B34" s="2" t="s">
        <v>3069</v>
      </c>
      <c r="C34" s="3">
        <v>1</v>
      </c>
      <c r="D34" s="6">
        <v>29.99</v>
      </c>
      <c r="E34" s="3" t="s">
        <v>3070</v>
      </c>
      <c r="F34" s="2" t="s">
        <v>2849</v>
      </c>
      <c r="G34" s="7"/>
      <c r="H34" s="2" t="s">
        <v>2419</v>
      </c>
      <c r="I34" s="2" t="s">
        <v>3071</v>
      </c>
      <c r="J34" s="2" t="s">
        <v>2361</v>
      </c>
      <c r="K34" s="2" t="s">
        <v>2377</v>
      </c>
      <c r="L34" s="8" t="str">
        <f>HYPERLINK("http://slimages.macys.com/is/image/MCY/2075000 ")</f>
        <v xml:space="preserve">http://slimages.macys.com/is/image/MCY/2075000 </v>
      </c>
    </row>
    <row r="35" spans="1:12" ht="30" customHeight="1" x14ac:dyDescent="0.25">
      <c r="A35" s="5" t="s">
        <v>3072</v>
      </c>
      <c r="B35" s="2" t="s">
        <v>3073</v>
      </c>
      <c r="C35" s="3">
        <v>2</v>
      </c>
      <c r="D35" s="6">
        <v>29.99</v>
      </c>
      <c r="E35" s="3" t="s">
        <v>3074</v>
      </c>
      <c r="F35" s="2" t="s">
        <v>2401</v>
      </c>
      <c r="G35" s="7"/>
      <c r="H35" s="2" t="s">
        <v>2459</v>
      </c>
      <c r="I35" s="2" t="s">
        <v>2406</v>
      </c>
      <c r="J35" s="2" t="s">
        <v>2361</v>
      </c>
      <c r="K35" s="2" t="s">
        <v>3075</v>
      </c>
      <c r="L35" s="8" t="str">
        <f>HYPERLINK("http://slimages.macys.com/is/image/MCY/10044237 ")</f>
        <v xml:space="preserve">http://slimages.macys.com/is/image/MCY/10044237 </v>
      </c>
    </row>
    <row r="36" spans="1:12" ht="30" customHeight="1" x14ac:dyDescent="0.25">
      <c r="A36" s="5" t="s">
        <v>3076</v>
      </c>
      <c r="B36" s="2" t="s">
        <v>3077</v>
      </c>
      <c r="C36" s="3">
        <v>3</v>
      </c>
      <c r="D36" s="6">
        <v>24.99</v>
      </c>
      <c r="E36" s="3" t="s">
        <v>3078</v>
      </c>
      <c r="F36" s="2" t="s">
        <v>2394</v>
      </c>
      <c r="G36" s="7" t="s">
        <v>2518</v>
      </c>
      <c r="H36" s="2" t="s">
        <v>2419</v>
      </c>
      <c r="I36" s="2" t="s">
        <v>2406</v>
      </c>
      <c r="J36" s="2" t="s">
        <v>2361</v>
      </c>
      <c r="K36" s="2" t="s">
        <v>2519</v>
      </c>
      <c r="L36" s="8" t="str">
        <f>HYPERLINK("http://slimages.macys.com/is/image/MCY/9602403 ")</f>
        <v xml:space="preserve">http://slimages.macys.com/is/image/MCY/9602403 </v>
      </c>
    </row>
    <row r="37" spans="1:12" ht="30" customHeight="1" x14ac:dyDescent="0.25">
      <c r="A37" s="5" t="s">
        <v>3079</v>
      </c>
      <c r="B37" s="2" t="s">
        <v>3080</v>
      </c>
      <c r="C37" s="3">
        <v>1</v>
      </c>
      <c r="D37" s="6">
        <v>24.99</v>
      </c>
      <c r="E37" s="3" t="s">
        <v>3081</v>
      </c>
      <c r="F37" s="2" t="s">
        <v>2768</v>
      </c>
      <c r="G37" s="7"/>
      <c r="H37" s="2" t="s">
        <v>2459</v>
      </c>
      <c r="I37" s="2" t="s">
        <v>2406</v>
      </c>
      <c r="J37" s="2" t="s">
        <v>2361</v>
      </c>
      <c r="K37" s="2"/>
      <c r="L37" s="8" t="str">
        <f>HYPERLINK("http://slimages.macys.com/is/image/MCY/9354233 ")</f>
        <v xml:space="preserve">http://slimages.macys.com/is/image/MCY/9354233 </v>
      </c>
    </row>
    <row r="38" spans="1:12" ht="30" customHeight="1" x14ac:dyDescent="0.25">
      <c r="A38" s="5" t="s">
        <v>3082</v>
      </c>
      <c r="B38" s="2" t="s">
        <v>3083</v>
      </c>
      <c r="C38" s="3">
        <v>1</v>
      </c>
      <c r="D38" s="6">
        <v>29.99</v>
      </c>
      <c r="E38" s="3">
        <v>91104</v>
      </c>
      <c r="F38" s="2" t="s">
        <v>2374</v>
      </c>
      <c r="G38" s="7"/>
      <c r="H38" s="2" t="s">
        <v>2412</v>
      </c>
      <c r="I38" s="2" t="s">
        <v>2823</v>
      </c>
      <c r="J38" s="2" t="s">
        <v>2361</v>
      </c>
      <c r="K38" s="2" t="s">
        <v>3084</v>
      </c>
      <c r="L38" s="8" t="str">
        <f>HYPERLINK("http://slimages.macys.com/is/image/MCY/12055858 ")</f>
        <v xml:space="preserve">http://slimages.macys.com/is/image/MCY/12055858 </v>
      </c>
    </row>
    <row r="39" spans="1:12" ht="30" customHeight="1" x14ac:dyDescent="0.25">
      <c r="A39" s="5" t="s">
        <v>3085</v>
      </c>
      <c r="B39" s="2" t="s">
        <v>3086</v>
      </c>
      <c r="C39" s="3">
        <v>1</v>
      </c>
      <c r="D39" s="6">
        <v>24.99</v>
      </c>
      <c r="E39" s="3" t="s">
        <v>3087</v>
      </c>
      <c r="F39" s="2" t="s">
        <v>2517</v>
      </c>
      <c r="G39" s="7" t="s">
        <v>2445</v>
      </c>
      <c r="H39" s="2" t="s">
        <v>2537</v>
      </c>
      <c r="I39" s="2" t="s">
        <v>2447</v>
      </c>
      <c r="J39" s="2" t="s">
        <v>2361</v>
      </c>
      <c r="K39" s="2" t="s">
        <v>3088</v>
      </c>
      <c r="L39" s="8" t="str">
        <f>HYPERLINK("http://slimages.macys.com/is/image/MCY/10523452 ")</f>
        <v xml:space="preserve">http://slimages.macys.com/is/image/MCY/10523452 </v>
      </c>
    </row>
    <row r="40" spans="1:12" ht="30" customHeight="1" x14ac:dyDescent="0.25">
      <c r="A40" s="5" t="s">
        <v>3089</v>
      </c>
      <c r="B40" s="2" t="s">
        <v>3090</v>
      </c>
      <c r="C40" s="3">
        <v>1</v>
      </c>
      <c r="D40" s="6">
        <v>22.99</v>
      </c>
      <c r="E40" s="3" t="s">
        <v>3091</v>
      </c>
      <c r="F40" s="2" t="s">
        <v>2622</v>
      </c>
      <c r="G40" s="7"/>
      <c r="H40" s="2" t="s">
        <v>2537</v>
      </c>
      <c r="I40" s="2" t="s">
        <v>2803</v>
      </c>
      <c r="J40" s="2" t="s">
        <v>2361</v>
      </c>
      <c r="K40" s="2" t="s">
        <v>2656</v>
      </c>
      <c r="L40" s="8" t="str">
        <f>HYPERLINK("http://slimages.macys.com/is/image/MCY/9975011 ")</f>
        <v xml:space="preserve">http://slimages.macys.com/is/image/MCY/9975011 </v>
      </c>
    </row>
    <row r="41" spans="1:12" ht="30" customHeight="1" x14ac:dyDescent="0.25">
      <c r="A41" s="5" t="s">
        <v>3092</v>
      </c>
      <c r="B41" s="2" t="s">
        <v>3093</v>
      </c>
      <c r="C41" s="3">
        <v>1</v>
      </c>
      <c r="D41" s="6">
        <v>19.989999999999998</v>
      </c>
      <c r="E41" s="3" t="s">
        <v>3094</v>
      </c>
      <c r="F41" s="2" t="s">
        <v>2552</v>
      </c>
      <c r="G41" s="7"/>
      <c r="H41" s="2" t="s">
        <v>2459</v>
      </c>
      <c r="I41" s="2" t="s">
        <v>2447</v>
      </c>
      <c r="J41" s="2" t="s">
        <v>2361</v>
      </c>
      <c r="K41" s="2" t="s">
        <v>2377</v>
      </c>
      <c r="L41" s="8" t="str">
        <f>HYPERLINK("http://slimages.macys.com/is/image/MCY/16499104 ")</f>
        <v xml:space="preserve">http://slimages.macys.com/is/image/MCY/16499104 </v>
      </c>
    </row>
    <row r="42" spans="1:12" ht="30" customHeight="1" x14ac:dyDescent="0.25">
      <c r="A42" s="5" t="s">
        <v>3095</v>
      </c>
      <c r="B42" s="2" t="s">
        <v>3096</v>
      </c>
      <c r="C42" s="3">
        <v>2</v>
      </c>
      <c r="D42" s="6">
        <v>34.99</v>
      </c>
      <c r="E42" s="3" t="s">
        <v>3097</v>
      </c>
      <c r="F42" s="2" t="s">
        <v>2366</v>
      </c>
      <c r="G42" s="7"/>
      <c r="H42" s="2" t="s">
        <v>2419</v>
      </c>
      <c r="I42" s="2" t="s">
        <v>2632</v>
      </c>
      <c r="J42" s="2" t="s">
        <v>2361</v>
      </c>
      <c r="K42" s="2" t="s">
        <v>2656</v>
      </c>
      <c r="L42" s="8" t="str">
        <f>HYPERLINK("http://slimages.macys.com/is/image/MCY/11542939 ")</f>
        <v xml:space="preserve">http://slimages.macys.com/is/image/MCY/11542939 </v>
      </c>
    </row>
    <row r="43" spans="1:12" ht="30" customHeight="1" x14ac:dyDescent="0.25">
      <c r="A43" s="5" t="s">
        <v>3098</v>
      </c>
      <c r="B43" s="2" t="s">
        <v>3099</v>
      </c>
      <c r="C43" s="3">
        <v>1</v>
      </c>
      <c r="D43" s="6">
        <v>29.99</v>
      </c>
      <c r="E43" s="3" t="s">
        <v>3100</v>
      </c>
      <c r="F43" s="2" t="s">
        <v>2374</v>
      </c>
      <c r="G43" s="7" t="s">
        <v>3028</v>
      </c>
      <c r="H43" s="2" t="s">
        <v>2412</v>
      </c>
      <c r="I43" s="2" t="s">
        <v>2413</v>
      </c>
      <c r="J43" s="2" t="s">
        <v>2361</v>
      </c>
      <c r="K43" s="2" t="s">
        <v>2706</v>
      </c>
      <c r="L43" s="8" t="str">
        <f>HYPERLINK("http://slimages.macys.com/is/image/MCY/15059991 ")</f>
        <v xml:space="preserve">http://slimages.macys.com/is/image/MCY/15059991 </v>
      </c>
    </row>
    <row r="44" spans="1:12" ht="30" customHeight="1" x14ac:dyDescent="0.25">
      <c r="A44" s="5" t="s">
        <v>3101</v>
      </c>
      <c r="B44" s="2" t="s">
        <v>3102</v>
      </c>
      <c r="C44" s="3">
        <v>1</v>
      </c>
      <c r="D44" s="6">
        <v>19.989999999999998</v>
      </c>
      <c r="E44" s="3" t="s">
        <v>3103</v>
      </c>
      <c r="F44" s="2" t="s">
        <v>2793</v>
      </c>
      <c r="G44" s="7" t="s">
        <v>3050</v>
      </c>
      <c r="H44" s="2" t="s">
        <v>2419</v>
      </c>
      <c r="I44" s="2" t="s">
        <v>3104</v>
      </c>
      <c r="J44" s="2" t="s">
        <v>2361</v>
      </c>
      <c r="K44" s="2"/>
      <c r="L44" s="8" t="str">
        <f>HYPERLINK("http://slimages.macys.com/is/image/MCY/14654928 ")</f>
        <v xml:space="preserve">http://slimages.macys.com/is/image/MCY/14654928 </v>
      </c>
    </row>
    <row r="45" spans="1:12" ht="30" customHeight="1" x14ac:dyDescent="0.25">
      <c r="A45" s="5" t="s">
        <v>2707</v>
      </c>
      <c r="B45" s="2" t="s">
        <v>2525</v>
      </c>
      <c r="C45" s="3">
        <v>2</v>
      </c>
      <c r="D45" s="6">
        <v>34.99</v>
      </c>
      <c r="E45" s="3" t="s">
        <v>2526</v>
      </c>
      <c r="F45" s="2" t="s">
        <v>2401</v>
      </c>
      <c r="G45" s="7"/>
      <c r="H45" s="2" t="s">
        <v>2395</v>
      </c>
      <c r="I45" s="2" t="s">
        <v>2527</v>
      </c>
      <c r="J45" s="2" t="s">
        <v>2361</v>
      </c>
      <c r="K45" s="2" t="s">
        <v>2377</v>
      </c>
      <c r="L45" s="8" t="str">
        <f>HYPERLINK("http://slimages.macys.com/is/image/MCY/14601403 ")</f>
        <v xml:space="preserve">http://slimages.macys.com/is/image/MCY/14601403 </v>
      </c>
    </row>
    <row r="46" spans="1:12" ht="30" customHeight="1" x14ac:dyDescent="0.25">
      <c r="A46" s="5" t="s">
        <v>3105</v>
      </c>
      <c r="B46" s="2" t="s">
        <v>3106</v>
      </c>
      <c r="C46" s="3">
        <v>1</v>
      </c>
      <c r="D46" s="6">
        <v>19.989999999999998</v>
      </c>
      <c r="E46" s="3" t="s">
        <v>3107</v>
      </c>
      <c r="F46" s="2"/>
      <c r="G46" s="7"/>
      <c r="H46" s="2" t="s">
        <v>2459</v>
      </c>
      <c r="I46" s="2" t="s">
        <v>2406</v>
      </c>
      <c r="J46" s="2" t="s">
        <v>2361</v>
      </c>
      <c r="K46" s="2" t="s">
        <v>3075</v>
      </c>
      <c r="L46" s="8" t="str">
        <f>HYPERLINK("http://slimages.macys.com/is/image/MCY/10044201 ")</f>
        <v xml:space="preserve">http://slimages.macys.com/is/image/MCY/10044201 </v>
      </c>
    </row>
    <row r="47" spans="1:12" ht="30" customHeight="1" x14ac:dyDescent="0.25">
      <c r="A47" s="5" t="s">
        <v>3108</v>
      </c>
      <c r="B47" s="2" t="s">
        <v>3109</v>
      </c>
      <c r="C47" s="3">
        <v>1</v>
      </c>
      <c r="D47" s="6">
        <v>19.989999999999998</v>
      </c>
      <c r="E47" s="3" t="s">
        <v>3110</v>
      </c>
      <c r="F47" s="2" t="s">
        <v>2381</v>
      </c>
      <c r="G47" s="7"/>
      <c r="H47" s="2" t="s">
        <v>2459</v>
      </c>
      <c r="I47" s="2" t="s">
        <v>2406</v>
      </c>
      <c r="J47" s="2" t="s">
        <v>2361</v>
      </c>
      <c r="K47" s="2" t="s">
        <v>3067</v>
      </c>
      <c r="L47" s="8" t="str">
        <f>HYPERLINK("http://slimages.macys.com/is/image/MCY/11703214 ")</f>
        <v xml:space="preserve">http://slimages.macys.com/is/image/MCY/11703214 </v>
      </c>
    </row>
    <row r="48" spans="1:12" ht="30" customHeight="1" x14ac:dyDescent="0.25">
      <c r="A48" s="5" t="s">
        <v>3111</v>
      </c>
      <c r="B48" s="2" t="s">
        <v>3112</v>
      </c>
      <c r="C48" s="3">
        <v>2</v>
      </c>
      <c r="D48" s="6">
        <v>19.989999999999998</v>
      </c>
      <c r="E48" s="3" t="s">
        <v>3113</v>
      </c>
      <c r="F48" s="2" t="s">
        <v>2401</v>
      </c>
      <c r="G48" s="7"/>
      <c r="H48" s="2" t="s">
        <v>2459</v>
      </c>
      <c r="I48" s="2" t="s">
        <v>2406</v>
      </c>
      <c r="J48" s="2" t="s">
        <v>2361</v>
      </c>
      <c r="K48" s="2" t="s">
        <v>3075</v>
      </c>
      <c r="L48" s="8" t="str">
        <f>HYPERLINK("http://slimages.macys.com/is/image/MCY/10044225 ")</f>
        <v xml:space="preserve">http://slimages.macys.com/is/image/MCY/10044225 </v>
      </c>
    </row>
    <row r="49" spans="1:12" ht="30" customHeight="1" x14ac:dyDescent="0.25">
      <c r="A49" s="5" t="s">
        <v>3114</v>
      </c>
      <c r="B49" s="2" t="s">
        <v>3115</v>
      </c>
      <c r="C49" s="3">
        <v>6</v>
      </c>
      <c r="D49" s="6">
        <v>19.989999999999998</v>
      </c>
      <c r="E49" s="3">
        <v>703444</v>
      </c>
      <c r="F49" s="2" t="s">
        <v>2597</v>
      </c>
      <c r="G49" s="7"/>
      <c r="H49" s="2" t="s">
        <v>2419</v>
      </c>
      <c r="I49" s="2" t="s">
        <v>3071</v>
      </c>
      <c r="J49" s="2" t="s">
        <v>2361</v>
      </c>
      <c r="K49" s="2" t="s">
        <v>2377</v>
      </c>
      <c r="L49" s="8" t="str">
        <f>HYPERLINK("http://slimages.macys.com/is/image/MCY/821775 ")</f>
        <v xml:space="preserve">http://slimages.macys.com/is/image/MCY/821775 </v>
      </c>
    </row>
    <row r="50" spans="1:12" ht="30" customHeight="1" x14ac:dyDescent="0.25">
      <c r="A50" s="5" t="s">
        <v>3116</v>
      </c>
      <c r="B50" s="2" t="s">
        <v>3117</v>
      </c>
      <c r="C50" s="3">
        <v>1</v>
      </c>
      <c r="D50" s="6">
        <v>29.99</v>
      </c>
      <c r="E50" s="3" t="s">
        <v>3118</v>
      </c>
      <c r="F50" s="2" t="s">
        <v>2394</v>
      </c>
      <c r="G50" s="7"/>
      <c r="H50" s="2" t="s">
        <v>2395</v>
      </c>
      <c r="I50" s="2" t="s">
        <v>2396</v>
      </c>
      <c r="J50" s="2" t="s">
        <v>2361</v>
      </c>
      <c r="K50" s="2"/>
      <c r="L50" s="8" t="str">
        <f>HYPERLINK("http://slimages.macys.com/is/image/MCY/8707771 ")</f>
        <v xml:space="preserve">http://slimages.macys.com/is/image/MCY/8707771 </v>
      </c>
    </row>
    <row r="51" spans="1:12" ht="30" customHeight="1" x14ac:dyDescent="0.25">
      <c r="A51" s="5" t="s">
        <v>3119</v>
      </c>
      <c r="B51" s="2" t="s">
        <v>3120</v>
      </c>
      <c r="C51" s="3">
        <v>1</v>
      </c>
      <c r="D51" s="6">
        <v>14.99</v>
      </c>
      <c r="E51" s="3">
        <v>45998</v>
      </c>
      <c r="F51" s="2" t="s">
        <v>2366</v>
      </c>
      <c r="G51" s="7"/>
      <c r="H51" s="2" t="s">
        <v>2419</v>
      </c>
      <c r="I51" s="2" t="s">
        <v>2697</v>
      </c>
      <c r="J51" s="2" t="s">
        <v>2361</v>
      </c>
      <c r="K51" s="2"/>
      <c r="L51" s="8" t="str">
        <f>HYPERLINK("http://slimages.macys.com/is/image/MCY/8759720 ")</f>
        <v xml:space="preserve">http://slimages.macys.com/is/image/MCY/8759720 </v>
      </c>
    </row>
    <row r="52" spans="1:12" ht="30" customHeight="1" x14ac:dyDescent="0.25">
      <c r="A52" s="5" t="s">
        <v>3121</v>
      </c>
      <c r="B52" s="2" t="s">
        <v>3122</v>
      </c>
      <c r="C52" s="3">
        <v>1</v>
      </c>
      <c r="D52" s="6">
        <v>9.99</v>
      </c>
      <c r="E52" s="3" t="s">
        <v>3123</v>
      </c>
      <c r="F52" s="2" t="s">
        <v>2394</v>
      </c>
      <c r="G52" s="7" t="s">
        <v>2723</v>
      </c>
      <c r="H52" s="2" t="s">
        <v>2446</v>
      </c>
      <c r="I52" s="2" t="s">
        <v>2547</v>
      </c>
      <c r="J52" s="2" t="s">
        <v>2361</v>
      </c>
      <c r="K52" s="2" t="s">
        <v>2508</v>
      </c>
      <c r="L52" s="8" t="str">
        <f>HYPERLINK("http://slimages.macys.com/is/image/MCY/1119571 ")</f>
        <v xml:space="preserve">http://slimages.macys.com/is/image/MCY/1119571 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RowHeight="30" customHeight="1" x14ac:dyDescent="0.25"/>
  <cols>
    <col min="1" max="1" width="14.28515625" customWidth="1"/>
    <col min="2" max="2" width="25.14062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3124</v>
      </c>
      <c r="B2" s="2" t="s">
        <v>3125</v>
      </c>
      <c r="C2" s="3">
        <v>1</v>
      </c>
      <c r="D2" s="6">
        <v>169.99</v>
      </c>
      <c r="E2" s="3" t="s">
        <v>3126</v>
      </c>
      <c r="F2" s="2" t="s">
        <v>2366</v>
      </c>
      <c r="G2" s="7"/>
      <c r="H2" s="2" t="s">
        <v>2749</v>
      </c>
      <c r="I2" s="2" t="s">
        <v>2750</v>
      </c>
      <c r="J2" s="2" t="s">
        <v>2361</v>
      </c>
      <c r="K2" s="2" t="s">
        <v>2448</v>
      </c>
      <c r="L2" s="8" t="str">
        <f>HYPERLINK("http://slimages.macys.com/is/image/MCY/10265288 ")</f>
        <v xml:space="preserve">http://slimages.macys.com/is/image/MCY/10265288 </v>
      </c>
    </row>
    <row r="3" spans="1:12" ht="30" customHeight="1" x14ac:dyDescent="0.25">
      <c r="A3" s="5" t="s">
        <v>3127</v>
      </c>
      <c r="B3" s="2" t="s">
        <v>3128</v>
      </c>
      <c r="C3" s="3">
        <v>1</v>
      </c>
      <c r="D3" s="6">
        <v>137.99</v>
      </c>
      <c r="E3" s="3" t="s">
        <v>3129</v>
      </c>
      <c r="F3" s="2" t="s">
        <v>2605</v>
      </c>
      <c r="G3" s="7"/>
      <c r="H3" s="2" t="s">
        <v>2419</v>
      </c>
      <c r="I3" s="2" t="s">
        <v>2406</v>
      </c>
      <c r="J3" s="2" t="s">
        <v>2361</v>
      </c>
      <c r="K3" s="2" t="s">
        <v>3130</v>
      </c>
      <c r="L3" s="8" t="str">
        <f>HYPERLINK("http://slimages.macys.com/is/image/MCY/11113575 ")</f>
        <v xml:space="preserve">http://slimages.macys.com/is/image/MCY/11113575 </v>
      </c>
    </row>
    <row r="4" spans="1:12" ht="30" customHeight="1" x14ac:dyDescent="0.25">
      <c r="A4" s="5" t="s">
        <v>3131</v>
      </c>
      <c r="B4" s="2" t="s">
        <v>3132</v>
      </c>
      <c r="C4" s="3">
        <v>1</v>
      </c>
      <c r="D4" s="6">
        <v>126.99</v>
      </c>
      <c r="E4" s="3">
        <v>8814</v>
      </c>
      <c r="F4" s="2" t="s">
        <v>2374</v>
      </c>
      <c r="G4" s="7"/>
      <c r="H4" s="2" t="s">
        <v>2412</v>
      </c>
      <c r="I4" s="2" t="s">
        <v>3133</v>
      </c>
      <c r="J4" s="2" t="s">
        <v>2361</v>
      </c>
      <c r="K4" s="2" t="s">
        <v>3134</v>
      </c>
      <c r="L4" s="8" t="str">
        <f>HYPERLINK("http://slimages.macys.com/is/image/MCY/14370798 ")</f>
        <v xml:space="preserve">http://slimages.macys.com/is/image/MCY/14370798 </v>
      </c>
    </row>
    <row r="5" spans="1:12" ht="30" customHeight="1" x14ac:dyDescent="0.25">
      <c r="A5" s="5" t="s">
        <v>3135</v>
      </c>
      <c r="B5" s="2" t="s">
        <v>3136</v>
      </c>
      <c r="C5" s="3">
        <v>1</v>
      </c>
      <c r="D5" s="6">
        <v>129.99</v>
      </c>
      <c r="E5" s="3" t="s">
        <v>3137</v>
      </c>
      <c r="F5" s="2" t="s">
        <v>2374</v>
      </c>
      <c r="G5" s="7" t="s">
        <v>2578</v>
      </c>
      <c r="H5" s="2" t="s">
        <v>2375</v>
      </c>
      <c r="I5" s="2" t="s">
        <v>2376</v>
      </c>
      <c r="J5" s="2" t="s">
        <v>2361</v>
      </c>
      <c r="K5" s="2" t="s">
        <v>2377</v>
      </c>
      <c r="L5" s="8" t="str">
        <f>HYPERLINK("http://slimages.macys.com/is/image/MCY/8794033 ")</f>
        <v xml:space="preserve">http://slimages.macys.com/is/image/MCY/8794033 </v>
      </c>
    </row>
    <row r="6" spans="1:12" ht="30" customHeight="1" x14ac:dyDescent="0.25">
      <c r="A6" s="5" t="s">
        <v>3138</v>
      </c>
      <c r="B6" s="2" t="s">
        <v>3139</v>
      </c>
      <c r="C6" s="3">
        <v>1</v>
      </c>
      <c r="D6" s="6">
        <v>179.99</v>
      </c>
      <c r="E6" s="3" t="s">
        <v>3140</v>
      </c>
      <c r="F6" s="2" t="s">
        <v>2374</v>
      </c>
      <c r="G6" s="7"/>
      <c r="H6" s="2" t="s">
        <v>2395</v>
      </c>
      <c r="I6" s="2" t="s">
        <v>2396</v>
      </c>
      <c r="J6" s="2" t="s">
        <v>2361</v>
      </c>
      <c r="K6" s="2"/>
      <c r="L6" s="8" t="str">
        <f>HYPERLINK("http://slimages.macys.com/is/image/MCY/11777401 ")</f>
        <v xml:space="preserve">http://slimages.macys.com/is/image/MCY/11777401 </v>
      </c>
    </row>
    <row r="7" spans="1:12" ht="30" customHeight="1" x14ac:dyDescent="0.25">
      <c r="A7" s="5" t="s">
        <v>3141</v>
      </c>
      <c r="B7" s="2" t="s">
        <v>2585</v>
      </c>
      <c r="C7" s="3">
        <v>1</v>
      </c>
      <c r="D7" s="6">
        <v>119.99</v>
      </c>
      <c r="E7" s="3" t="s">
        <v>3142</v>
      </c>
      <c r="F7" s="2" t="s">
        <v>2374</v>
      </c>
      <c r="G7" s="7"/>
      <c r="H7" s="2" t="s">
        <v>2412</v>
      </c>
      <c r="I7" s="2" t="s">
        <v>2587</v>
      </c>
      <c r="J7" s="2" t="s">
        <v>2361</v>
      </c>
      <c r="K7" s="2" t="s">
        <v>2588</v>
      </c>
      <c r="L7" s="8" t="str">
        <f>HYPERLINK("http://slimages.macys.com/is/image/MCY/13767792 ")</f>
        <v xml:space="preserve">http://slimages.macys.com/is/image/MCY/13767792 </v>
      </c>
    </row>
    <row r="8" spans="1:12" ht="30" customHeight="1" x14ac:dyDescent="0.25">
      <c r="A8" s="5" t="s">
        <v>3143</v>
      </c>
      <c r="B8" s="2" t="s">
        <v>3144</v>
      </c>
      <c r="C8" s="3">
        <v>1</v>
      </c>
      <c r="D8" s="6">
        <v>129.99</v>
      </c>
      <c r="E8" s="3" t="s">
        <v>3145</v>
      </c>
      <c r="F8" s="2" t="s">
        <v>2622</v>
      </c>
      <c r="G8" s="7"/>
      <c r="H8" s="2" t="s">
        <v>2395</v>
      </c>
      <c r="I8" s="2" t="s">
        <v>2396</v>
      </c>
      <c r="J8" s="2" t="s">
        <v>2361</v>
      </c>
      <c r="K8" s="2" t="s">
        <v>3146</v>
      </c>
      <c r="L8" s="8" t="str">
        <f>HYPERLINK("http://slimages.macys.com/is/image/MCY/2845386 ")</f>
        <v xml:space="preserve">http://slimages.macys.com/is/image/MCY/2845386 </v>
      </c>
    </row>
    <row r="9" spans="1:12" ht="30" customHeight="1" x14ac:dyDescent="0.25">
      <c r="A9" s="5" t="s">
        <v>3147</v>
      </c>
      <c r="B9" s="2" t="s">
        <v>3148</v>
      </c>
      <c r="C9" s="3">
        <v>1</v>
      </c>
      <c r="D9" s="6">
        <v>149.99</v>
      </c>
      <c r="E9" s="3" t="s">
        <v>3149</v>
      </c>
      <c r="F9" s="2" t="s">
        <v>2517</v>
      </c>
      <c r="G9" s="7"/>
      <c r="H9" s="2" t="s">
        <v>2395</v>
      </c>
      <c r="I9" s="2" t="s">
        <v>2396</v>
      </c>
      <c r="J9" s="2" t="s">
        <v>2361</v>
      </c>
      <c r="K9" s="2" t="s">
        <v>3150</v>
      </c>
      <c r="L9" s="8" t="str">
        <f>HYPERLINK("http://slimages.macys.com/is/image/MCY/12071407 ")</f>
        <v xml:space="preserve">http://slimages.macys.com/is/image/MCY/12071407 </v>
      </c>
    </row>
    <row r="10" spans="1:12" ht="30" customHeight="1" x14ac:dyDescent="0.25">
      <c r="A10" s="5" t="s">
        <v>3151</v>
      </c>
      <c r="B10" s="2" t="s">
        <v>3152</v>
      </c>
      <c r="C10" s="3">
        <v>1</v>
      </c>
      <c r="D10" s="6">
        <v>129.99</v>
      </c>
      <c r="E10" s="3" t="s">
        <v>3153</v>
      </c>
      <c r="F10" s="2" t="s">
        <v>2418</v>
      </c>
      <c r="G10" s="7"/>
      <c r="H10" s="2" t="s">
        <v>2395</v>
      </c>
      <c r="I10" s="2" t="s">
        <v>2396</v>
      </c>
      <c r="J10" s="2" t="s">
        <v>2361</v>
      </c>
      <c r="K10" s="2" t="s">
        <v>2397</v>
      </c>
      <c r="L10" s="8" t="str">
        <f>HYPERLINK("http://slimages.macys.com/is/image/MCY/9139786 ")</f>
        <v xml:space="preserve">http://slimages.macys.com/is/image/MCY/9139786 </v>
      </c>
    </row>
    <row r="11" spans="1:12" ht="30" customHeight="1" x14ac:dyDescent="0.25">
      <c r="A11" s="5" t="s">
        <v>3154</v>
      </c>
      <c r="B11" s="2" t="s">
        <v>3155</v>
      </c>
      <c r="C11" s="3">
        <v>1</v>
      </c>
      <c r="D11" s="6">
        <v>129.99</v>
      </c>
      <c r="E11" s="3" t="s">
        <v>3156</v>
      </c>
      <c r="F11" s="2" t="s">
        <v>3157</v>
      </c>
      <c r="G11" s="7"/>
      <c r="H11" s="2" t="s">
        <v>2395</v>
      </c>
      <c r="I11" s="2" t="s">
        <v>2396</v>
      </c>
      <c r="J11" s="2" t="s">
        <v>2361</v>
      </c>
      <c r="K11" s="2"/>
      <c r="L11" s="8" t="str">
        <f>HYPERLINK("http://slimages.macys.com/is/image/MCY/10047956 ")</f>
        <v xml:space="preserve">http://slimages.macys.com/is/image/MCY/10047956 </v>
      </c>
    </row>
    <row r="12" spans="1:12" ht="30" customHeight="1" x14ac:dyDescent="0.25">
      <c r="A12" s="5" t="s">
        <v>3158</v>
      </c>
      <c r="B12" s="2" t="s">
        <v>3159</v>
      </c>
      <c r="C12" s="3">
        <v>1</v>
      </c>
      <c r="D12" s="6">
        <v>119.99</v>
      </c>
      <c r="E12" s="3" t="s">
        <v>3160</v>
      </c>
      <c r="F12" s="2" t="s">
        <v>2622</v>
      </c>
      <c r="G12" s="7"/>
      <c r="H12" s="2" t="s">
        <v>2359</v>
      </c>
      <c r="I12" s="2" t="s">
        <v>2406</v>
      </c>
      <c r="J12" s="2" t="s">
        <v>2361</v>
      </c>
      <c r="K12" s="2" t="s">
        <v>3161</v>
      </c>
      <c r="L12" s="8" t="str">
        <f>HYPERLINK("http://slimages.macys.com/is/image/MCY/9627852 ")</f>
        <v xml:space="preserve">http://slimages.macys.com/is/image/MCY/9627852 </v>
      </c>
    </row>
    <row r="13" spans="1:12" ht="30" customHeight="1" x14ac:dyDescent="0.25">
      <c r="A13" s="5" t="s">
        <v>3162</v>
      </c>
      <c r="B13" s="2" t="s">
        <v>3163</v>
      </c>
      <c r="C13" s="3">
        <v>1</v>
      </c>
      <c r="D13" s="6">
        <v>84.99</v>
      </c>
      <c r="E13" s="3" t="s">
        <v>3164</v>
      </c>
      <c r="F13" s="2" t="s">
        <v>2381</v>
      </c>
      <c r="G13" s="7"/>
      <c r="H13" s="2" t="s">
        <v>2419</v>
      </c>
      <c r="I13" s="2" t="s">
        <v>2406</v>
      </c>
      <c r="J13" s="2" t="s">
        <v>2361</v>
      </c>
      <c r="K13" s="2" t="s">
        <v>3165</v>
      </c>
      <c r="L13" s="8" t="str">
        <f>HYPERLINK("http://slimages.macys.com/is/image/MCY/9775061 ")</f>
        <v xml:space="preserve">http://slimages.macys.com/is/image/MCY/9775061 </v>
      </c>
    </row>
    <row r="14" spans="1:12" ht="30" customHeight="1" x14ac:dyDescent="0.25">
      <c r="A14" s="5" t="s">
        <v>3166</v>
      </c>
      <c r="B14" s="2" t="s">
        <v>3167</v>
      </c>
      <c r="C14" s="3">
        <v>3</v>
      </c>
      <c r="D14" s="6">
        <v>99.99</v>
      </c>
      <c r="E14" s="3" t="s">
        <v>3168</v>
      </c>
      <c r="F14" s="2" t="s">
        <v>3157</v>
      </c>
      <c r="G14" s="7"/>
      <c r="H14" s="2" t="s">
        <v>2395</v>
      </c>
      <c r="I14" s="2" t="s">
        <v>2396</v>
      </c>
      <c r="J14" s="2" t="s">
        <v>2361</v>
      </c>
      <c r="K14" s="2"/>
      <c r="L14" s="8" t="str">
        <f>HYPERLINK("http://slimages.macys.com/is/image/MCY/10047956 ")</f>
        <v xml:space="preserve">http://slimages.macys.com/is/image/MCY/10047956 </v>
      </c>
    </row>
    <row r="15" spans="1:12" ht="30" customHeight="1" x14ac:dyDescent="0.25">
      <c r="A15" s="5" t="s">
        <v>3169</v>
      </c>
      <c r="B15" s="2" t="s">
        <v>3170</v>
      </c>
      <c r="C15" s="3">
        <v>1</v>
      </c>
      <c r="D15" s="6">
        <v>89.99</v>
      </c>
      <c r="E15" s="3" t="s">
        <v>3171</v>
      </c>
      <c r="F15" s="2" t="s">
        <v>2440</v>
      </c>
      <c r="G15" s="7"/>
      <c r="H15" s="2" t="s">
        <v>2359</v>
      </c>
      <c r="I15" s="2" t="s">
        <v>2406</v>
      </c>
      <c r="J15" s="2" t="s">
        <v>2361</v>
      </c>
      <c r="K15" s="2" t="s">
        <v>3172</v>
      </c>
      <c r="L15" s="8" t="str">
        <f>HYPERLINK("http://slimages.macys.com/is/image/MCY/8927467 ")</f>
        <v xml:space="preserve">http://slimages.macys.com/is/image/MCY/8927467 </v>
      </c>
    </row>
    <row r="16" spans="1:12" ht="30" customHeight="1" x14ac:dyDescent="0.25">
      <c r="A16" s="5" t="s">
        <v>3173</v>
      </c>
      <c r="B16" s="2" t="s">
        <v>3174</v>
      </c>
      <c r="C16" s="3">
        <v>1</v>
      </c>
      <c r="D16" s="6">
        <v>55.99</v>
      </c>
      <c r="E16" s="3" t="s">
        <v>3175</v>
      </c>
      <c r="F16" s="2" t="s">
        <v>2622</v>
      </c>
      <c r="G16" s="7"/>
      <c r="H16" s="2" t="s">
        <v>2419</v>
      </c>
      <c r="I16" s="2" t="s">
        <v>2406</v>
      </c>
      <c r="J16" s="2" t="s">
        <v>2361</v>
      </c>
      <c r="K16" s="2" t="s">
        <v>2377</v>
      </c>
      <c r="L16" s="8" t="str">
        <f>HYPERLINK("http://slimages.macys.com/is/image/MCY/9775066 ")</f>
        <v xml:space="preserve">http://slimages.macys.com/is/image/MCY/9775066 </v>
      </c>
    </row>
    <row r="17" spans="1:12" ht="30" customHeight="1" x14ac:dyDescent="0.25">
      <c r="A17" s="5" t="s">
        <v>3176</v>
      </c>
      <c r="B17" s="2" t="s">
        <v>3177</v>
      </c>
      <c r="C17" s="3">
        <v>1</v>
      </c>
      <c r="D17" s="6">
        <v>39.99</v>
      </c>
      <c r="E17" s="3">
        <v>170327246</v>
      </c>
      <c r="F17" s="2" t="s">
        <v>2601</v>
      </c>
      <c r="G17" s="7"/>
      <c r="H17" s="2" t="s">
        <v>2419</v>
      </c>
      <c r="I17" s="2" t="s">
        <v>2611</v>
      </c>
      <c r="J17" s="2" t="s">
        <v>2361</v>
      </c>
      <c r="K17" s="2" t="s">
        <v>2377</v>
      </c>
      <c r="L17" s="8" t="str">
        <f>HYPERLINK("http://slimages.macys.com/is/image/MCY/3465245 ")</f>
        <v xml:space="preserve">http://slimages.macys.com/is/image/MCY/3465245 </v>
      </c>
    </row>
    <row r="18" spans="1:12" ht="30" customHeight="1" x14ac:dyDescent="0.25">
      <c r="A18" s="5" t="s">
        <v>3178</v>
      </c>
      <c r="B18" s="2" t="s">
        <v>3179</v>
      </c>
      <c r="C18" s="3">
        <v>1</v>
      </c>
      <c r="D18" s="6">
        <v>79.989999999999995</v>
      </c>
      <c r="E18" s="3" t="s">
        <v>3180</v>
      </c>
      <c r="F18" s="2" t="s">
        <v>2381</v>
      </c>
      <c r="G18" s="7"/>
      <c r="H18" s="2" t="s">
        <v>2473</v>
      </c>
      <c r="I18" s="2" t="s">
        <v>3181</v>
      </c>
      <c r="J18" s="2" t="s">
        <v>2361</v>
      </c>
      <c r="K18" s="2" t="s">
        <v>3182</v>
      </c>
      <c r="L18" s="8" t="str">
        <f>HYPERLINK("http://slimages.macys.com/is/image/MCY/2265674 ")</f>
        <v xml:space="preserve">http://slimages.macys.com/is/image/MCY/2265674 </v>
      </c>
    </row>
    <row r="19" spans="1:12" ht="30" customHeight="1" x14ac:dyDescent="0.25">
      <c r="A19" s="5" t="s">
        <v>3183</v>
      </c>
      <c r="B19" s="2" t="s">
        <v>3184</v>
      </c>
      <c r="C19" s="3">
        <v>1</v>
      </c>
      <c r="D19" s="6">
        <v>59.99</v>
      </c>
      <c r="E19" s="3" t="s">
        <v>3185</v>
      </c>
      <c r="F19" s="2" t="s">
        <v>2622</v>
      </c>
      <c r="G19" s="7"/>
      <c r="H19" s="2" t="s">
        <v>2359</v>
      </c>
      <c r="I19" s="2" t="s">
        <v>2406</v>
      </c>
      <c r="J19" s="2" t="s">
        <v>2361</v>
      </c>
      <c r="K19" s="2" t="s">
        <v>3186</v>
      </c>
      <c r="L19" s="8" t="str">
        <f>HYPERLINK("http://slimages.macys.com/is/image/MCY/10074363 ")</f>
        <v xml:space="preserve">http://slimages.macys.com/is/image/MCY/10074363 </v>
      </c>
    </row>
    <row r="20" spans="1:12" ht="30" customHeight="1" x14ac:dyDescent="0.25">
      <c r="A20" s="5" t="s">
        <v>3187</v>
      </c>
      <c r="B20" s="2" t="s">
        <v>3188</v>
      </c>
      <c r="C20" s="3">
        <v>1</v>
      </c>
      <c r="D20" s="6">
        <v>89.99</v>
      </c>
      <c r="E20" s="3">
        <v>10001968800</v>
      </c>
      <c r="F20" s="2" t="s">
        <v>2418</v>
      </c>
      <c r="G20" s="7" t="s">
        <v>3039</v>
      </c>
      <c r="H20" s="2" t="s">
        <v>2388</v>
      </c>
      <c r="I20" s="2" t="s">
        <v>2998</v>
      </c>
      <c r="J20" s="2" t="s">
        <v>2361</v>
      </c>
      <c r="K20" s="2"/>
      <c r="L20" s="8" t="str">
        <f>HYPERLINK("http://slimages.macys.com/is/image/MCY/9746269 ")</f>
        <v xml:space="preserve">http://slimages.macys.com/is/image/MCY/9746269 </v>
      </c>
    </row>
    <row r="21" spans="1:12" ht="30" customHeight="1" x14ac:dyDescent="0.25">
      <c r="A21" s="5" t="s">
        <v>3189</v>
      </c>
      <c r="B21" s="2" t="s">
        <v>3190</v>
      </c>
      <c r="C21" s="3">
        <v>1</v>
      </c>
      <c r="D21" s="6">
        <v>48.99</v>
      </c>
      <c r="E21" s="3" t="s">
        <v>3191</v>
      </c>
      <c r="F21" s="2"/>
      <c r="G21" s="7"/>
      <c r="H21" s="2" t="s">
        <v>2359</v>
      </c>
      <c r="I21" s="2" t="s">
        <v>2727</v>
      </c>
      <c r="J21" s="2" t="s">
        <v>2361</v>
      </c>
      <c r="K21" s="2" t="s">
        <v>2656</v>
      </c>
      <c r="L21" s="8" t="str">
        <f>HYPERLINK("http://slimages.macys.com/is/image/MCY/11620295 ")</f>
        <v xml:space="preserve">http://slimages.macys.com/is/image/MCY/11620295 </v>
      </c>
    </row>
    <row r="22" spans="1:12" ht="30" customHeight="1" x14ac:dyDescent="0.25">
      <c r="A22" s="5" t="s">
        <v>3192</v>
      </c>
      <c r="B22" s="2" t="s">
        <v>3193</v>
      </c>
      <c r="C22" s="3">
        <v>3</v>
      </c>
      <c r="D22" s="6">
        <v>39.99</v>
      </c>
      <c r="E22" s="3">
        <v>1000768200</v>
      </c>
      <c r="F22" s="2" t="s">
        <v>3194</v>
      </c>
      <c r="G22" s="7" t="s">
        <v>3195</v>
      </c>
      <c r="H22" s="2" t="s">
        <v>2815</v>
      </c>
      <c r="I22" s="2" t="s">
        <v>2389</v>
      </c>
      <c r="J22" s="2" t="s">
        <v>2361</v>
      </c>
      <c r="K22" s="2"/>
      <c r="L22" s="8" t="str">
        <f>HYPERLINK("http://slimages.macys.com/is/image/MCY/9263413 ")</f>
        <v xml:space="preserve">http://slimages.macys.com/is/image/MCY/9263413 </v>
      </c>
    </row>
    <row r="23" spans="1:12" ht="30" customHeight="1" x14ac:dyDescent="0.25">
      <c r="A23" s="5" t="s">
        <v>2638</v>
      </c>
      <c r="B23" s="2" t="s">
        <v>2476</v>
      </c>
      <c r="C23" s="3">
        <v>1</v>
      </c>
      <c r="D23" s="6">
        <v>59.99</v>
      </c>
      <c r="E23" s="3" t="s">
        <v>2639</v>
      </c>
      <c r="F23" s="2" t="s">
        <v>2640</v>
      </c>
      <c r="G23" s="7" t="s">
        <v>2478</v>
      </c>
      <c r="H23" s="2" t="s">
        <v>2473</v>
      </c>
      <c r="I23" s="2" t="s">
        <v>2479</v>
      </c>
      <c r="J23" s="2" t="s">
        <v>2361</v>
      </c>
      <c r="K23" s="2"/>
      <c r="L23" s="8" t="str">
        <f>HYPERLINK("http://slimages.macys.com/is/image/MCY/15202993 ")</f>
        <v xml:space="preserve">http://slimages.macys.com/is/image/MCY/15202993 </v>
      </c>
    </row>
    <row r="24" spans="1:12" ht="30" customHeight="1" x14ac:dyDescent="0.25">
      <c r="A24" s="5" t="s">
        <v>3196</v>
      </c>
      <c r="B24" s="2" t="s">
        <v>3197</v>
      </c>
      <c r="C24" s="3">
        <v>2</v>
      </c>
      <c r="D24" s="6">
        <v>38.99</v>
      </c>
      <c r="E24" s="3" t="s">
        <v>3198</v>
      </c>
      <c r="F24" s="2" t="s">
        <v>2440</v>
      </c>
      <c r="G24" s="7"/>
      <c r="H24" s="2" t="s">
        <v>2419</v>
      </c>
      <c r="I24" s="2" t="s">
        <v>2406</v>
      </c>
      <c r="J24" s="2" t="s">
        <v>2361</v>
      </c>
      <c r="K24" s="2" t="s">
        <v>2377</v>
      </c>
      <c r="L24" s="8" t="str">
        <f>HYPERLINK("http://slimages.macys.com/is/image/MCY/8216566 ")</f>
        <v xml:space="preserve">http://slimages.macys.com/is/image/MCY/8216566 </v>
      </c>
    </row>
    <row r="25" spans="1:12" ht="30" customHeight="1" x14ac:dyDescent="0.25">
      <c r="A25" s="5" t="s">
        <v>3199</v>
      </c>
      <c r="B25" s="2" t="s">
        <v>3200</v>
      </c>
      <c r="C25" s="3">
        <v>1</v>
      </c>
      <c r="D25" s="6">
        <v>39.99</v>
      </c>
      <c r="E25" s="3">
        <v>10004047600</v>
      </c>
      <c r="F25" s="2" t="s">
        <v>2440</v>
      </c>
      <c r="G25" s="7" t="s">
        <v>3039</v>
      </c>
      <c r="H25" s="2" t="s">
        <v>2368</v>
      </c>
      <c r="I25" s="2" t="s">
        <v>2369</v>
      </c>
      <c r="J25" s="2" t="s">
        <v>2432</v>
      </c>
      <c r="K25" s="2"/>
      <c r="L25" s="8" t="str">
        <f>HYPERLINK("http://slimages.macys.com/is/image/MCY/11390187 ")</f>
        <v xml:space="preserve">http://slimages.macys.com/is/image/MCY/11390187 </v>
      </c>
    </row>
    <row r="26" spans="1:12" ht="30" customHeight="1" x14ac:dyDescent="0.25">
      <c r="A26" s="5" t="s">
        <v>3201</v>
      </c>
      <c r="B26" s="2" t="s">
        <v>3202</v>
      </c>
      <c r="C26" s="3">
        <v>1</v>
      </c>
      <c r="D26" s="6">
        <v>34.99</v>
      </c>
      <c r="E26" s="3" t="s">
        <v>3203</v>
      </c>
      <c r="F26" s="2" t="s">
        <v>2605</v>
      </c>
      <c r="G26" s="7"/>
      <c r="H26" s="2" t="s">
        <v>2395</v>
      </c>
      <c r="I26" s="2" t="s">
        <v>2396</v>
      </c>
      <c r="J26" s="2" t="s">
        <v>2361</v>
      </c>
      <c r="K26" s="2" t="s">
        <v>3204</v>
      </c>
      <c r="L26" s="8" t="str">
        <f>HYPERLINK("http://slimages.macys.com/is/image/MCY/10035788 ")</f>
        <v xml:space="preserve">http://slimages.macys.com/is/image/MCY/10035788 </v>
      </c>
    </row>
    <row r="27" spans="1:12" ht="30" customHeight="1" x14ac:dyDescent="0.25">
      <c r="A27" s="5" t="s">
        <v>3205</v>
      </c>
      <c r="B27" s="2" t="s">
        <v>3206</v>
      </c>
      <c r="C27" s="3">
        <v>1</v>
      </c>
      <c r="D27" s="6">
        <v>39.99</v>
      </c>
      <c r="E27" s="3">
        <v>10002799800</v>
      </c>
      <c r="F27" s="2" t="s">
        <v>2440</v>
      </c>
      <c r="G27" s="7"/>
      <c r="H27" s="2" t="s">
        <v>2368</v>
      </c>
      <c r="I27" s="2" t="s">
        <v>2369</v>
      </c>
      <c r="J27" s="2" t="s">
        <v>2432</v>
      </c>
      <c r="K27" s="2" t="s">
        <v>3207</v>
      </c>
      <c r="L27" s="8" t="str">
        <f>HYPERLINK("http://slimages.macys.com/is/image/MCY/9629131 ")</f>
        <v xml:space="preserve">http://slimages.macys.com/is/image/MCY/9629131 </v>
      </c>
    </row>
    <row r="28" spans="1:12" ht="30" customHeight="1" x14ac:dyDescent="0.25">
      <c r="A28" s="5" t="s">
        <v>3208</v>
      </c>
      <c r="B28" s="2" t="s">
        <v>3209</v>
      </c>
      <c r="C28" s="3">
        <v>1</v>
      </c>
      <c r="D28" s="6">
        <v>29.99</v>
      </c>
      <c r="E28" s="3">
        <v>1002111400</v>
      </c>
      <c r="F28" s="2" t="s">
        <v>2530</v>
      </c>
      <c r="G28" s="7"/>
      <c r="H28" s="2" t="s">
        <v>2815</v>
      </c>
      <c r="I28" s="2" t="s">
        <v>3210</v>
      </c>
      <c r="J28" s="2" t="s">
        <v>2789</v>
      </c>
      <c r="K28" s="2" t="s">
        <v>2377</v>
      </c>
      <c r="L28" s="8" t="str">
        <f>HYPERLINK("http://slimages.macys.com/is/image/MCY/9257533 ")</f>
        <v xml:space="preserve">http://slimages.macys.com/is/image/MCY/9257533 </v>
      </c>
    </row>
    <row r="29" spans="1:12" ht="30" customHeight="1" x14ac:dyDescent="0.25">
      <c r="A29" s="5" t="s">
        <v>3211</v>
      </c>
      <c r="B29" s="2" t="s">
        <v>3212</v>
      </c>
      <c r="C29" s="3">
        <v>1</v>
      </c>
      <c r="D29" s="6">
        <v>34.99</v>
      </c>
      <c r="E29" s="3" t="s">
        <v>3213</v>
      </c>
      <c r="F29" s="2" t="s">
        <v>2381</v>
      </c>
      <c r="G29" s="7"/>
      <c r="H29" s="2" t="s">
        <v>2359</v>
      </c>
      <c r="I29" s="2" t="s">
        <v>2406</v>
      </c>
      <c r="J29" s="2" t="s">
        <v>2361</v>
      </c>
      <c r="K29" s="2" t="s">
        <v>3214</v>
      </c>
      <c r="L29" s="8" t="str">
        <f>HYPERLINK("http://slimages.macys.com/is/image/MCY/10073939 ")</f>
        <v xml:space="preserve">http://slimages.macys.com/is/image/MCY/10073939 </v>
      </c>
    </row>
    <row r="30" spans="1:12" ht="30" customHeight="1" x14ac:dyDescent="0.25">
      <c r="A30" s="5" t="s">
        <v>3215</v>
      </c>
      <c r="B30" s="2" t="s">
        <v>3216</v>
      </c>
      <c r="C30" s="3">
        <v>1</v>
      </c>
      <c r="D30" s="6">
        <v>79.989999999999995</v>
      </c>
      <c r="E30" s="3">
        <v>10004904800</v>
      </c>
      <c r="F30" s="2" t="s">
        <v>2622</v>
      </c>
      <c r="G30" s="7" t="s">
        <v>3039</v>
      </c>
      <c r="H30" s="2" t="s">
        <v>2388</v>
      </c>
      <c r="I30" s="2" t="s">
        <v>3217</v>
      </c>
      <c r="J30" s="2" t="s">
        <v>2361</v>
      </c>
      <c r="K30" s="2"/>
      <c r="L30" s="8" t="str">
        <f>HYPERLINK("http://slimages.macys.com/is/image/MCY/11283473 ")</f>
        <v xml:space="preserve">http://slimages.macys.com/is/image/MCY/11283473 </v>
      </c>
    </row>
    <row r="31" spans="1:12" ht="30" customHeight="1" x14ac:dyDescent="0.25">
      <c r="A31" s="5" t="s">
        <v>3218</v>
      </c>
      <c r="B31" s="2" t="s">
        <v>3219</v>
      </c>
      <c r="C31" s="3">
        <v>1</v>
      </c>
      <c r="D31" s="6">
        <v>28.99</v>
      </c>
      <c r="E31" s="3" t="s">
        <v>3220</v>
      </c>
      <c r="F31" s="2" t="s">
        <v>2381</v>
      </c>
      <c r="G31" s="7"/>
      <c r="H31" s="2" t="s">
        <v>2419</v>
      </c>
      <c r="I31" s="2" t="s">
        <v>2406</v>
      </c>
      <c r="J31" s="2" t="s">
        <v>2361</v>
      </c>
      <c r="K31" s="2" t="s">
        <v>3060</v>
      </c>
      <c r="L31" s="8" t="str">
        <f>HYPERLINK("http://slimages.macys.com/is/image/MCY/9310298 ")</f>
        <v xml:space="preserve">http://slimages.macys.com/is/image/MCY/9310298 </v>
      </c>
    </row>
    <row r="32" spans="1:12" ht="30" customHeight="1" x14ac:dyDescent="0.25">
      <c r="A32" s="5" t="s">
        <v>3221</v>
      </c>
      <c r="B32" s="2" t="s">
        <v>3222</v>
      </c>
      <c r="C32" s="3">
        <v>1</v>
      </c>
      <c r="D32" s="6">
        <v>29.99</v>
      </c>
      <c r="E32" s="3">
        <v>1005239600</v>
      </c>
      <c r="F32" s="2" t="s">
        <v>2440</v>
      </c>
      <c r="G32" s="7"/>
      <c r="H32" s="2" t="s">
        <v>2815</v>
      </c>
      <c r="I32" s="2" t="s">
        <v>3210</v>
      </c>
      <c r="J32" s="2" t="s">
        <v>2789</v>
      </c>
      <c r="K32" s="2" t="s">
        <v>2377</v>
      </c>
      <c r="L32" s="8" t="str">
        <f>HYPERLINK("http://slimages.macys.com/is/image/MCY/10625674 ")</f>
        <v xml:space="preserve">http://slimages.macys.com/is/image/MCY/10625674 </v>
      </c>
    </row>
    <row r="33" spans="1:12" ht="30" customHeight="1" x14ac:dyDescent="0.25">
      <c r="A33" s="5" t="s">
        <v>3223</v>
      </c>
      <c r="B33" s="2" t="s">
        <v>3224</v>
      </c>
      <c r="C33" s="3">
        <v>1</v>
      </c>
      <c r="D33" s="6">
        <v>29.99</v>
      </c>
      <c r="E33" s="3">
        <v>1001810800</v>
      </c>
      <c r="F33" s="2" t="s">
        <v>2366</v>
      </c>
      <c r="G33" s="7"/>
      <c r="H33" s="2" t="s">
        <v>2815</v>
      </c>
      <c r="I33" s="2" t="s">
        <v>3210</v>
      </c>
      <c r="J33" s="2" t="s">
        <v>2789</v>
      </c>
      <c r="K33" s="2" t="s">
        <v>2377</v>
      </c>
      <c r="L33" s="8" t="str">
        <f>HYPERLINK("http://slimages.macys.com/is/image/MCY/9257533 ")</f>
        <v xml:space="preserve">http://slimages.macys.com/is/image/MCY/9257533 </v>
      </c>
    </row>
    <row r="34" spans="1:12" ht="30" customHeight="1" x14ac:dyDescent="0.25">
      <c r="A34" s="5" t="s">
        <v>2509</v>
      </c>
      <c r="B34" s="2" t="s">
        <v>2510</v>
      </c>
      <c r="C34" s="3">
        <v>6</v>
      </c>
      <c r="D34" s="6">
        <v>29.99</v>
      </c>
      <c r="E34" s="3" t="s">
        <v>2511</v>
      </c>
      <c r="F34" s="2" t="s">
        <v>2512</v>
      </c>
      <c r="G34" s="7"/>
      <c r="H34" s="2" t="s">
        <v>2368</v>
      </c>
      <c r="I34" s="2" t="s">
        <v>2369</v>
      </c>
      <c r="J34" s="2" t="s">
        <v>2432</v>
      </c>
      <c r="K34" s="2" t="s">
        <v>2513</v>
      </c>
      <c r="L34" s="8" t="str">
        <f>HYPERLINK("http://slimages.macys.com/is/image/MCY/9121143 ")</f>
        <v xml:space="preserve">http://slimages.macys.com/is/image/MCY/9121143 </v>
      </c>
    </row>
    <row r="35" spans="1:12" ht="30" customHeight="1" x14ac:dyDescent="0.25">
      <c r="A35" s="5" t="s">
        <v>3225</v>
      </c>
      <c r="B35" s="2" t="s">
        <v>3226</v>
      </c>
      <c r="C35" s="3">
        <v>1</v>
      </c>
      <c r="D35" s="6">
        <v>29.99</v>
      </c>
      <c r="E35" s="3">
        <v>64103614</v>
      </c>
      <c r="F35" s="2" t="s">
        <v>2953</v>
      </c>
      <c r="G35" s="7"/>
      <c r="H35" s="2" t="s">
        <v>2412</v>
      </c>
      <c r="I35" s="2" t="s">
        <v>2823</v>
      </c>
      <c r="J35" s="2" t="s">
        <v>2361</v>
      </c>
      <c r="K35" s="2" t="s">
        <v>2955</v>
      </c>
      <c r="L35" s="8" t="str">
        <f>HYPERLINK("http://slimages.macys.com/is/image/MCY/2517555 ")</f>
        <v xml:space="preserve">http://slimages.macys.com/is/image/MCY/2517555 </v>
      </c>
    </row>
    <row r="36" spans="1:12" ht="30" customHeight="1" x14ac:dyDescent="0.25">
      <c r="A36" s="5" t="s">
        <v>3227</v>
      </c>
      <c r="B36" s="2" t="s">
        <v>3228</v>
      </c>
      <c r="C36" s="3">
        <v>1</v>
      </c>
      <c r="D36" s="6">
        <v>24.99</v>
      </c>
      <c r="E36" s="3" t="s">
        <v>3229</v>
      </c>
      <c r="F36" s="2" t="s">
        <v>2793</v>
      </c>
      <c r="G36" s="7"/>
      <c r="H36" s="2" t="s">
        <v>2459</v>
      </c>
      <c r="I36" s="2" t="s">
        <v>2447</v>
      </c>
      <c r="J36" s="2" t="s">
        <v>2361</v>
      </c>
      <c r="K36" s="2" t="s">
        <v>2377</v>
      </c>
      <c r="L36" s="8" t="str">
        <f>HYPERLINK("http://slimages.macys.com/is/image/MCY/9367759 ")</f>
        <v xml:space="preserve">http://slimages.macys.com/is/image/MCY/9367759 </v>
      </c>
    </row>
    <row r="37" spans="1:12" ht="30" customHeight="1" x14ac:dyDescent="0.25">
      <c r="A37" s="5" t="s">
        <v>3230</v>
      </c>
      <c r="B37" s="2" t="s">
        <v>3231</v>
      </c>
      <c r="C37" s="3">
        <v>1</v>
      </c>
      <c r="D37" s="6">
        <v>19.989999999999998</v>
      </c>
      <c r="E37" s="3" t="s">
        <v>3232</v>
      </c>
      <c r="F37" s="2" t="s">
        <v>2401</v>
      </c>
      <c r="G37" s="7"/>
      <c r="H37" s="2" t="s">
        <v>2459</v>
      </c>
      <c r="I37" s="2" t="s">
        <v>3233</v>
      </c>
      <c r="J37" s="2" t="s">
        <v>2361</v>
      </c>
      <c r="K37" s="2" t="s">
        <v>3234</v>
      </c>
      <c r="L37" s="8" t="str">
        <f>HYPERLINK("http://slimages.macys.com/is/image/MCY/8251495 ")</f>
        <v xml:space="preserve">http://slimages.macys.com/is/image/MCY/8251495 </v>
      </c>
    </row>
    <row r="38" spans="1:12" ht="30" customHeight="1" x14ac:dyDescent="0.25">
      <c r="A38" s="5" t="s">
        <v>3235</v>
      </c>
      <c r="B38" s="2" t="s">
        <v>3236</v>
      </c>
      <c r="C38" s="3">
        <v>1</v>
      </c>
      <c r="D38" s="6">
        <v>24.99</v>
      </c>
      <c r="E38" s="3" t="s">
        <v>3237</v>
      </c>
      <c r="F38" s="2" t="s">
        <v>3238</v>
      </c>
      <c r="G38" s="7"/>
      <c r="H38" s="2" t="s">
        <v>2459</v>
      </c>
      <c r="I38" s="2" t="s">
        <v>3239</v>
      </c>
      <c r="J38" s="2" t="s">
        <v>2361</v>
      </c>
      <c r="K38" s="2" t="s">
        <v>3240</v>
      </c>
      <c r="L38" s="8" t="str">
        <f>HYPERLINK("http://slimages.macys.com/is/image/MCY/10022098 ")</f>
        <v xml:space="preserve">http://slimages.macys.com/is/image/MCY/10022098 </v>
      </c>
    </row>
    <row r="39" spans="1:12" ht="30" customHeight="1" x14ac:dyDescent="0.25">
      <c r="A39" s="5" t="s">
        <v>3241</v>
      </c>
      <c r="B39" s="2" t="s">
        <v>3242</v>
      </c>
      <c r="C39" s="3">
        <v>1</v>
      </c>
      <c r="D39" s="6">
        <v>21.99</v>
      </c>
      <c r="E39" s="3" t="s">
        <v>3243</v>
      </c>
      <c r="F39" s="2" t="s">
        <v>2381</v>
      </c>
      <c r="G39" s="7"/>
      <c r="H39" s="2" t="s">
        <v>2419</v>
      </c>
      <c r="I39" s="2" t="s">
        <v>3071</v>
      </c>
      <c r="J39" s="2" t="s">
        <v>2361</v>
      </c>
      <c r="K39" s="2" t="s">
        <v>2377</v>
      </c>
      <c r="L39" s="8" t="str">
        <f>HYPERLINK("http://slimages.macys.com/is/image/MCY/821775 ")</f>
        <v xml:space="preserve">http://slimages.macys.com/is/image/MCY/821775 </v>
      </c>
    </row>
    <row r="40" spans="1:12" ht="30" customHeight="1" x14ac:dyDescent="0.25">
      <c r="A40" s="5" t="s">
        <v>3244</v>
      </c>
      <c r="B40" s="2" t="s">
        <v>3245</v>
      </c>
      <c r="C40" s="3">
        <v>1</v>
      </c>
      <c r="D40" s="6">
        <v>19.989999999999998</v>
      </c>
      <c r="E40" s="3" t="s">
        <v>3246</v>
      </c>
      <c r="F40" s="2" t="s">
        <v>2374</v>
      </c>
      <c r="G40" s="7"/>
      <c r="H40" s="2" t="s">
        <v>2412</v>
      </c>
      <c r="I40" s="2" t="s">
        <v>2701</v>
      </c>
      <c r="J40" s="2" t="s">
        <v>2467</v>
      </c>
      <c r="K40" s="2"/>
      <c r="L40" s="8" t="str">
        <f>HYPERLINK("http://slimages.macys.com/is/image/MCY/8370881 ")</f>
        <v xml:space="preserve">http://slimages.macys.com/is/image/MCY/8370881 </v>
      </c>
    </row>
    <row r="41" spans="1:12" ht="30" customHeight="1" x14ac:dyDescent="0.25">
      <c r="A41" s="5" t="s">
        <v>3247</v>
      </c>
      <c r="B41" s="2" t="s">
        <v>3248</v>
      </c>
      <c r="C41" s="3">
        <v>1</v>
      </c>
      <c r="D41" s="6">
        <v>19.989999999999998</v>
      </c>
      <c r="E41" s="3" t="s">
        <v>3249</v>
      </c>
      <c r="F41" s="2" t="s">
        <v>2374</v>
      </c>
      <c r="G41" s="7"/>
      <c r="H41" s="2" t="s">
        <v>2984</v>
      </c>
      <c r="I41" s="2" t="s">
        <v>3250</v>
      </c>
      <c r="J41" s="2" t="s">
        <v>2361</v>
      </c>
      <c r="K41" s="2" t="s">
        <v>2397</v>
      </c>
      <c r="L41" s="8" t="str">
        <f>HYPERLINK("http://slimages.macys.com/is/image/MCY/10342298 ")</f>
        <v xml:space="preserve">http://slimages.macys.com/is/image/MCY/10342298 </v>
      </c>
    </row>
    <row r="42" spans="1:12" ht="30" customHeight="1" x14ac:dyDescent="0.25">
      <c r="A42" s="5" t="s">
        <v>3251</v>
      </c>
      <c r="B42" s="2" t="s">
        <v>3252</v>
      </c>
      <c r="C42" s="3">
        <v>2</v>
      </c>
      <c r="D42" s="6">
        <v>19.989999999999998</v>
      </c>
      <c r="E42" s="3" t="s">
        <v>3253</v>
      </c>
      <c r="F42" s="2" t="s">
        <v>2440</v>
      </c>
      <c r="G42" s="7"/>
      <c r="H42" s="2" t="s">
        <v>2459</v>
      </c>
      <c r="I42" s="2" t="s">
        <v>3239</v>
      </c>
      <c r="J42" s="2" t="s">
        <v>2361</v>
      </c>
      <c r="K42" s="2" t="s">
        <v>2448</v>
      </c>
      <c r="L42" s="8" t="str">
        <f>HYPERLINK("http://slimages.macys.com/is/image/MCY/10943302 ")</f>
        <v xml:space="preserve">http://slimages.macys.com/is/image/MCY/10943302 </v>
      </c>
    </row>
    <row r="43" spans="1:12" ht="30" customHeight="1" x14ac:dyDescent="0.25">
      <c r="A43" s="5" t="s">
        <v>3254</v>
      </c>
      <c r="B43" s="2" t="s">
        <v>3255</v>
      </c>
      <c r="C43" s="3">
        <v>1</v>
      </c>
      <c r="D43" s="6">
        <v>19.989999999999998</v>
      </c>
      <c r="E43" s="3">
        <v>58286</v>
      </c>
      <c r="F43" s="2"/>
      <c r="G43" s="7" t="s">
        <v>3256</v>
      </c>
      <c r="H43" s="2" t="s">
        <v>2459</v>
      </c>
      <c r="I43" s="2" t="s">
        <v>2807</v>
      </c>
      <c r="J43" s="2" t="s">
        <v>2361</v>
      </c>
      <c r="K43" s="2" t="s">
        <v>3257</v>
      </c>
      <c r="L43" s="8" t="str">
        <f>HYPERLINK("http://slimages.macys.com/is/image/MCY/11320413 ")</f>
        <v xml:space="preserve">http://slimages.macys.com/is/image/MCY/11320413 </v>
      </c>
    </row>
    <row r="44" spans="1:12" ht="30" customHeight="1" x14ac:dyDescent="0.25">
      <c r="A44" s="5" t="s">
        <v>3258</v>
      </c>
      <c r="B44" s="2" t="s">
        <v>3259</v>
      </c>
      <c r="C44" s="3">
        <v>1</v>
      </c>
      <c r="D44" s="6">
        <v>14.99</v>
      </c>
      <c r="E44" s="3" t="s">
        <v>3260</v>
      </c>
      <c r="F44" s="2" t="s">
        <v>2424</v>
      </c>
      <c r="G44" s="7"/>
      <c r="H44" s="2" t="s">
        <v>2537</v>
      </c>
      <c r="I44" s="2" t="s">
        <v>2538</v>
      </c>
      <c r="J44" s="2" t="s">
        <v>2361</v>
      </c>
      <c r="K44" s="2"/>
      <c r="L44" s="8" t="str">
        <f>HYPERLINK("http://slimages.macys.com/is/image/MCY/15162661 ")</f>
        <v xml:space="preserve">http://slimages.macys.com/is/image/MCY/15162661 </v>
      </c>
    </row>
    <row r="45" spans="1:12" ht="30" customHeight="1" x14ac:dyDescent="0.25">
      <c r="A45" s="5" t="s">
        <v>3261</v>
      </c>
      <c r="B45" s="2" t="s">
        <v>3262</v>
      </c>
      <c r="C45" s="3">
        <v>4</v>
      </c>
      <c r="D45" s="6">
        <v>14.99</v>
      </c>
      <c r="E45" s="3" t="s">
        <v>3263</v>
      </c>
      <c r="F45" s="2" t="s">
        <v>2464</v>
      </c>
      <c r="G45" s="7"/>
      <c r="H45" s="2" t="s">
        <v>2459</v>
      </c>
      <c r="I45" s="2" t="s">
        <v>2406</v>
      </c>
      <c r="J45" s="2" t="s">
        <v>2361</v>
      </c>
      <c r="K45" s="2"/>
      <c r="L45" s="8" t="str">
        <f>HYPERLINK("http://slimages.macys.com/is/image/MCY/9020912 ")</f>
        <v xml:space="preserve">http://slimages.macys.com/is/image/MCY/9020912 </v>
      </c>
    </row>
    <row r="46" spans="1:12" ht="30" customHeight="1" x14ac:dyDescent="0.25">
      <c r="A46" s="5" t="s">
        <v>3264</v>
      </c>
      <c r="B46" s="2" t="s">
        <v>3265</v>
      </c>
      <c r="C46" s="3">
        <v>2</v>
      </c>
      <c r="D46" s="6">
        <v>15.99</v>
      </c>
      <c r="E46" s="3">
        <v>58283</v>
      </c>
      <c r="F46" s="2"/>
      <c r="G46" s="7" t="s">
        <v>3256</v>
      </c>
      <c r="H46" s="2" t="s">
        <v>2459</v>
      </c>
      <c r="I46" s="2" t="s">
        <v>2807</v>
      </c>
      <c r="J46" s="2" t="s">
        <v>2361</v>
      </c>
      <c r="K46" s="2" t="s">
        <v>3266</v>
      </c>
      <c r="L46" s="8" t="str">
        <f>HYPERLINK("http://slimages.macys.com/is/image/MCY/14827052 ")</f>
        <v xml:space="preserve">http://slimages.macys.com/is/image/MCY/14827052 </v>
      </c>
    </row>
    <row r="47" spans="1:12" ht="30" customHeight="1" x14ac:dyDescent="0.25">
      <c r="A47" s="5" t="s">
        <v>3267</v>
      </c>
      <c r="B47" s="2" t="s">
        <v>3268</v>
      </c>
      <c r="C47" s="3">
        <v>3</v>
      </c>
      <c r="D47" s="6">
        <v>19.989999999999998</v>
      </c>
      <c r="E47" s="3">
        <v>58294</v>
      </c>
      <c r="F47" s="2"/>
      <c r="G47" s="7" t="s">
        <v>3256</v>
      </c>
      <c r="H47" s="2" t="s">
        <v>2459</v>
      </c>
      <c r="I47" s="2" t="s">
        <v>2807</v>
      </c>
      <c r="J47" s="2" t="s">
        <v>2361</v>
      </c>
      <c r="K47" s="2" t="s">
        <v>3257</v>
      </c>
      <c r="L47" s="8" t="str">
        <f>HYPERLINK("http://slimages.macys.com/is/image/MCY/11681025 ")</f>
        <v xml:space="preserve">http://slimages.macys.com/is/image/MCY/11681025 </v>
      </c>
    </row>
    <row r="48" spans="1:12" ht="30" customHeight="1" x14ac:dyDescent="0.25">
      <c r="A48" s="5" t="s">
        <v>3269</v>
      </c>
      <c r="B48" s="2" t="s">
        <v>3270</v>
      </c>
      <c r="C48" s="3">
        <v>1</v>
      </c>
      <c r="D48" s="6">
        <v>15.99</v>
      </c>
      <c r="E48" s="3">
        <v>58280</v>
      </c>
      <c r="F48" s="2"/>
      <c r="G48" s="7" t="s">
        <v>3256</v>
      </c>
      <c r="H48" s="2" t="s">
        <v>2459</v>
      </c>
      <c r="I48" s="2" t="s">
        <v>2807</v>
      </c>
      <c r="J48" s="2" t="s">
        <v>2361</v>
      </c>
      <c r="K48" s="2" t="s">
        <v>3266</v>
      </c>
      <c r="L48" s="8" t="str">
        <f>HYPERLINK("http://slimages.macys.com/is/image/MCY/14827068 ")</f>
        <v xml:space="preserve">http://slimages.macys.com/is/image/MCY/14827068 </v>
      </c>
    </row>
    <row r="49" spans="1:12" ht="30" customHeight="1" x14ac:dyDescent="0.25">
      <c r="A49" s="5" t="s">
        <v>3271</v>
      </c>
      <c r="B49" s="2" t="s">
        <v>3272</v>
      </c>
      <c r="C49" s="3">
        <v>1</v>
      </c>
      <c r="D49" s="6">
        <v>15.99</v>
      </c>
      <c r="E49" s="3" t="s">
        <v>3273</v>
      </c>
      <c r="F49" s="2"/>
      <c r="G49" s="7" t="s">
        <v>3256</v>
      </c>
      <c r="H49" s="2" t="s">
        <v>2459</v>
      </c>
      <c r="I49" s="2" t="s">
        <v>2807</v>
      </c>
      <c r="J49" s="2" t="s">
        <v>2361</v>
      </c>
      <c r="K49" s="2" t="s">
        <v>3266</v>
      </c>
      <c r="L49" s="8" t="str">
        <f>HYPERLINK("http://slimages.macys.com/is/image/MCY/14827060 ")</f>
        <v xml:space="preserve">http://slimages.macys.com/is/image/MCY/14827060 </v>
      </c>
    </row>
    <row r="50" spans="1:12" ht="30" customHeight="1" x14ac:dyDescent="0.25">
      <c r="A50" s="5" t="s">
        <v>3274</v>
      </c>
      <c r="B50" s="2" t="s">
        <v>3275</v>
      </c>
      <c r="C50" s="3">
        <v>2</v>
      </c>
      <c r="D50" s="6">
        <v>15.99</v>
      </c>
      <c r="E50" s="3">
        <v>58281</v>
      </c>
      <c r="F50" s="2"/>
      <c r="G50" s="7" t="s">
        <v>3256</v>
      </c>
      <c r="H50" s="2" t="s">
        <v>2459</v>
      </c>
      <c r="I50" s="2" t="s">
        <v>2807</v>
      </c>
      <c r="J50" s="2" t="s">
        <v>2361</v>
      </c>
      <c r="K50" s="2" t="s">
        <v>3266</v>
      </c>
      <c r="L50" s="8" t="str">
        <f>HYPERLINK("http://slimages.macys.com/is/image/MCY/14827048 ")</f>
        <v xml:space="preserve">http://slimages.macys.com/is/image/MCY/14827048 </v>
      </c>
    </row>
    <row r="51" spans="1:12" ht="30" customHeight="1" x14ac:dyDescent="0.25">
      <c r="A51" s="5" t="s">
        <v>3276</v>
      </c>
      <c r="B51" s="2" t="s">
        <v>3277</v>
      </c>
      <c r="C51" s="3">
        <v>2</v>
      </c>
      <c r="D51" s="6">
        <v>11.99</v>
      </c>
      <c r="E51" s="3">
        <v>51047</v>
      </c>
      <c r="F51" s="2" t="s">
        <v>2374</v>
      </c>
      <c r="G51" s="7" t="s">
        <v>2990</v>
      </c>
      <c r="H51" s="2" t="s">
        <v>2412</v>
      </c>
      <c r="I51" s="2" t="s">
        <v>2823</v>
      </c>
      <c r="J51" s="2"/>
      <c r="K51" s="2"/>
      <c r="L51" s="8" t="str">
        <f>HYPERLINK("http://slimages.macys.com/is/image/MCY/9391300 ")</f>
        <v xml:space="preserve">http://slimages.macys.com/is/image/MCY/9391300 </v>
      </c>
    </row>
    <row r="52" spans="1:12" ht="30" customHeight="1" x14ac:dyDescent="0.25">
      <c r="A52" s="5" t="s">
        <v>3278</v>
      </c>
      <c r="B52" s="2" t="s">
        <v>3279</v>
      </c>
      <c r="C52" s="3">
        <v>1</v>
      </c>
      <c r="D52" s="6">
        <v>14.99</v>
      </c>
      <c r="E52" s="3">
        <v>1002362000</v>
      </c>
      <c r="F52" s="2" t="s">
        <v>2366</v>
      </c>
      <c r="G52" s="7" t="s">
        <v>3280</v>
      </c>
      <c r="H52" s="2" t="s">
        <v>2815</v>
      </c>
      <c r="I52" s="2" t="s">
        <v>3210</v>
      </c>
      <c r="J52" s="2" t="s">
        <v>2789</v>
      </c>
      <c r="K52" s="2" t="s">
        <v>2377</v>
      </c>
      <c r="L52" s="8" t="str">
        <f>HYPERLINK("http://slimages.macys.com/is/image/MCY/9257533 ")</f>
        <v xml:space="preserve">http://slimages.macys.com/is/image/MCY/9257533 </v>
      </c>
    </row>
    <row r="53" spans="1:12" ht="30" customHeight="1" x14ac:dyDescent="0.25">
      <c r="A53" s="5" t="s">
        <v>3281</v>
      </c>
      <c r="B53" s="2" t="s">
        <v>3282</v>
      </c>
      <c r="C53" s="3">
        <v>1</v>
      </c>
      <c r="D53" s="6">
        <v>14.99</v>
      </c>
      <c r="E53" s="3" t="s">
        <v>3283</v>
      </c>
      <c r="F53" s="2" t="s">
        <v>2440</v>
      </c>
      <c r="G53" s="7"/>
      <c r="H53" s="2" t="s">
        <v>2459</v>
      </c>
      <c r="I53" s="2" t="s">
        <v>3239</v>
      </c>
      <c r="J53" s="2" t="s">
        <v>2361</v>
      </c>
      <c r="K53" s="2"/>
      <c r="L53" s="8" t="str">
        <f>HYPERLINK("http://slimages.macys.com/is/image/MCY/9512834 ")</f>
        <v xml:space="preserve">http://slimages.macys.com/is/image/MCY/9512834 </v>
      </c>
    </row>
    <row r="54" spans="1:12" ht="30" customHeight="1" x14ac:dyDescent="0.25">
      <c r="A54" s="5" t="s">
        <v>3284</v>
      </c>
      <c r="B54" s="2" t="s">
        <v>3285</v>
      </c>
      <c r="C54" s="3">
        <v>1</v>
      </c>
      <c r="D54" s="6">
        <v>14.99</v>
      </c>
      <c r="E54" s="3" t="s">
        <v>3286</v>
      </c>
      <c r="F54" s="2" t="s">
        <v>2797</v>
      </c>
      <c r="G54" s="7"/>
      <c r="H54" s="2" t="s">
        <v>2459</v>
      </c>
      <c r="I54" s="2" t="s">
        <v>3239</v>
      </c>
      <c r="J54" s="2" t="s">
        <v>2361</v>
      </c>
      <c r="K54" s="2"/>
      <c r="L54" s="8" t="str">
        <f>HYPERLINK("http://slimages.macys.com/is/image/MCY/9512834 ")</f>
        <v xml:space="preserve">http://slimages.macys.com/is/image/MCY/9512834 </v>
      </c>
    </row>
    <row r="55" spans="1:12" ht="30" customHeight="1" x14ac:dyDescent="0.25">
      <c r="A55" s="5" t="s">
        <v>3287</v>
      </c>
      <c r="B55" s="2" t="s">
        <v>3288</v>
      </c>
      <c r="C55" s="3">
        <v>2</v>
      </c>
      <c r="D55" s="6">
        <v>13.99</v>
      </c>
      <c r="E55" s="3" t="s">
        <v>3289</v>
      </c>
      <c r="F55" s="2" t="s">
        <v>2374</v>
      </c>
      <c r="G55" s="7"/>
      <c r="H55" s="2" t="s">
        <v>2465</v>
      </c>
      <c r="I55" s="2" t="s">
        <v>2901</v>
      </c>
      <c r="J55" s="2" t="s">
        <v>2467</v>
      </c>
      <c r="K55" s="2"/>
      <c r="L55" s="8" t="str">
        <f>HYPERLINK("http://slimages.macys.com/is/image/MCY/14346822 ")</f>
        <v xml:space="preserve">http://slimages.macys.com/is/image/MCY/14346822 </v>
      </c>
    </row>
    <row r="56" spans="1:12" ht="30" customHeight="1" x14ac:dyDescent="0.25">
      <c r="A56" s="5" t="s">
        <v>3290</v>
      </c>
      <c r="B56" s="2" t="s">
        <v>3291</v>
      </c>
      <c r="C56" s="3">
        <v>1</v>
      </c>
      <c r="D56" s="6">
        <v>12.99</v>
      </c>
      <c r="E56" s="3" t="s">
        <v>3292</v>
      </c>
      <c r="F56" s="2" t="s">
        <v>2424</v>
      </c>
      <c r="G56" s="7"/>
      <c r="H56" s="2" t="s">
        <v>2459</v>
      </c>
      <c r="I56" s="2" t="s">
        <v>3239</v>
      </c>
      <c r="J56" s="2" t="s">
        <v>2361</v>
      </c>
      <c r="K56" s="2" t="s">
        <v>3293</v>
      </c>
      <c r="L56" s="8" t="str">
        <f>HYPERLINK("http://slimages.macys.com/is/image/MCY/2898005 ")</f>
        <v xml:space="preserve">http://slimages.macys.com/is/image/MCY/2898005 </v>
      </c>
    </row>
    <row r="57" spans="1:12" ht="30" customHeight="1" x14ac:dyDescent="0.25">
      <c r="A57" s="5" t="s">
        <v>3294</v>
      </c>
      <c r="B57" s="2" t="s">
        <v>3295</v>
      </c>
      <c r="C57" s="3">
        <v>1</v>
      </c>
      <c r="D57" s="6">
        <v>9.99</v>
      </c>
      <c r="E57" s="3" t="s">
        <v>3296</v>
      </c>
      <c r="F57" s="2" t="s">
        <v>2927</v>
      </c>
      <c r="G57" s="7" t="s">
        <v>2546</v>
      </c>
      <c r="H57" s="2" t="s">
        <v>2532</v>
      </c>
      <c r="I57" s="2" t="s">
        <v>2369</v>
      </c>
      <c r="J57" s="2" t="s">
        <v>2361</v>
      </c>
      <c r="K57" s="2" t="s">
        <v>2936</v>
      </c>
      <c r="L57" s="8" t="str">
        <f>HYPERLINK("http://slimages.macys.com/is/image/MCY/2544464 ")</f>
        <v xml:space="preserve">http://slimages.macys.com/is/image/MCY/2544464 </v>
      </c>
    </row>
    <row r="58" spans="1:12" ht="30" customHeight="1" x14ac:dyDescent="0.25">
      <c r="A58" s="5" t="s">
        <v>3297</v>
      </c>
      <c r="B58" s="2" t="s">
        <v>3298</v>
      </c>
      <c r="C58" s="3">
        <v>1</v>
      </c>
      <c r="D58" s="6">
        <v>8.99</v>
      </c>
      <c r="E58" s="3">
        <v>5390</v>
      </c>
      <c r="F58" s="2" t="s">
        <v>2530</v>
      </c>
      <c r="G58" s="7" t="s">
        <v>2382</v>
      </c>
      <c r="H58" s="2" t="s">
        <v>2459</v>
      </c>
      <c r="I58" s="2" t="s">
        <v>3299</v>
      </c>
      <c r="J58" s="2" t="s">
        <v>2361</v>
      </c>
      <c r="K58" s="2" t="s">
        <v>3300</v>
      </c>
      <c r="L58" s="8" t="str">
        <f>HYPERLINK("http://slimages.macys.com/is/image/MCY/11311520 ")</f>
        <v xml:space="preserve">http://slimages.macys.com/is/image/MCY/11311520 </v>
      </c>
    </row>
    <row r="59" spans="1:12" ht="30" customHeight="1" x14ac:dyDescent="0.25">
      <c r="A59" s="5" t="s">
        <v>3301</v>
      </c>
      <c r="B59" s="2" t="s">
        <v>3302</v>
      </c>
      <c r="C59" s="3">
        <v>1</v>
      </c>
      <c r="D59" s="6">
        <v>99.99</v>
      </c>
      <c r="E59" s="3" t="s">
        <v>3303</v>
      </c>
      <c r="F59" s="2" t="s">
        <v>2381</v>
      </c>
      <c r="G59" s="7"/>
      <c r="H59" s="2" t="s">
        <v>2359</v>
      </c>
      <c r="I59" s="2" t="s">
        <v>2406</v>
      </c>
      <c r="J59" s="2"/>
      <c r="K59" s="2"/>
      <c r="L59" s="8"/>
    </row>
    <row r="60" spans="1:12" ht="30" customHeight="1" x14ac:dyDescent="0.25">
      <c r="A60" s="5" t="s">
        <v>3304</v>
      </c>
      <c r="B60" s="2" t="s">
        <v>3305</v>
      </c>
      <c r="C60" s="3">
        <v>1</v>
      </c>
      <c r="D60" s="6">
        <v>7.99</v>
      </c>
      <c r="E60" s="3">
        <v>1636782</v>
      </c>
      <c r="F60" s="2" t="s">
        <v>2374</v>
      </c>
      <c r="G60" s="7"/>
      <c r="H60" s="2" t="s">
        <v>2412</v>
      </c>
      <c r="I60" s="2" t="s">
        <v>2558</v>
      </c>
      <c r="J60" s="2"/>
      <c r="K60" s="2"/>
      <c r="L60" s="8"/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30" customHeight="1" x14ac:dyDescent="0.25"/>
  <cols>
    <col min="1" max="1" width="14.28515625" customWidth="1"/>
    <col min="2" max="2" width="48.5703125" customWidth="1"/>
    <col min="3" max="4" width="15" customWidth="1"/>
    <col min="5" max="5" width="14.8554687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3306</v>
      </c>
      <c r="B2" s="2" t="s">
        <v>3307</v>
      </c>
      <c r="C2" s="3">
        <v>1</v>
      </c>
      <c r="D2" s="6">
        <v>148.99</v>
      </c>
      <c r="E2" s="3" t="s">
        <v>3308</v>
      </c>
      <c r="F2" s="2" t="s">
        <v>2536</v>
      </c>
      <c r="G2" s="7" t="s">
        <v>3309</v>
      </c>
      <c r="H2" s="2" t="s">
        <v>2419</v>
      </c>
      <c r="I2" s="2" t="s">
        <v>2406</v>
      </c>
      <c r="J2" s="2" t="s">
        <v>2361</v>
      </c>
      <c r="K2" s="2" t="s">
        <v>3310</v>
      </c>
      <c r="L2" s="8" t="str">
        <f>HYPERLINK("http://slimages.macys.com/is/image/MCY/9803576 ")</f>
        <v xml:space="preserve">http://slimages.macys.com/is/image/MCY/9803576 </v>
      </c>
    </row>
    <row r="3" spans="1:12" ht="30" customHeight="1" x14ac:dyDescent="0.25">
      <c r="A3" s="5" t="s">
        <v>3311</v>
      </c>
      <c r="B3" s="2" t="s">
        <v>3312</v>
      </c>
      <c r="C3" s="3">
        <v>1</v>
      </c>
      <c r="D3" s="6">
        <v>159.99</v>
      </c>
      <c r="E3" s="3" t="s">
        <v>3313</v>
      </c>
      <c r="F3" s="2" t="s">
        <v>2793</v>
      </c>
      <c r="G3" s="7"/>
      <c r="H3" s="2" t="s">
        <v>2359</v>
      </c>
      <c r="I3" s="2" t="s">
        <v>2406</v>
      </c>
      <c r="J3" s="2" t="s">
        <v>2361</v>
      </c>
      <c r="K3" s="2" t="s">
        <v>3314</v>
      </c>
      <c r="L3" s="8" t="str">
        <f>HYPERLINK("http://slimages.macys.com/is/image/MCY/8928609 ")</f>
        <v xml:space="preserve">http://slimages.macys.com/is/image/MCY/8928609 </v>
      </c>
    </row>
    <row r="4" spans="1:12" ht="30" customHeight="1" x14ac:dyDescent="0.25">
      <c r="A4" s="5" t="s">
        <v>3315</v>
      </c>
      <c r="B4" s="2" t="s">
        <v>3316</v>
      </c>
      <c r="C4" s="3">
        <v>1</v>
      </c>
      <c r="D4" s="6">
        <v>79.989999999999995</v>
      </c>
      <c r="E4" s="3" t="s">
        <v>3317</v>
      </c>
      <c r="F4" s="2" t="s">
        <v>2622</v>
      </c>
      <c r="G4" s="7"/>
      <c r="H4" s="2" t="s">
        <v>2532</v>
      </c>
      <c r="I4" s="2" t="s">
        <v>2928</v>
      </c>
      <c r="J4" s="2" t="s">
        <v>2361</v>
      </c>
      <c r="K4" s="2" t="s">
        <v>2397</v>
      </c>
      <c r="L4" s="8" t="str">
        <f>HYPERLINK("http://slimages.macys.com/is/image/MCY/3723616 ")</f>
        <v xml:space="preserve">http://slimages.macys.com/is/image/MCY/3723616 </v>
      </c>
    </row>
    <row r="5" spans="1:12" ht="30" customHeight="1" x14ac:dyDescent="0.25">
      <c r="A5" s="5" t="s">
        <v>3318</v>
      </c>
      <c r="B5" s="2" t="s">
        <v>3319</v>
      </c>
      <c r="C5" s="3">
        <v>1</v>
      </c>
      <c r="D5" s="6">
        <v>139.99</v>
      </c>
      <c r="E5" s="3" t="s">
        <v>3320</v>
      </c>
      <c r="F5" s="2" t="s">
        <v>2440</v>
      </c>
      <c r="G5" s="7" t="s">
        <v>2367</v>
      </c>
      <c r="H5" s="2" t="s">
        <v>2368</v>
      </c>
      <c r="I5" s="2" t="s">
        <v>2369</v>
      </c>
      <c r="J5" s="2" t="s">
        <v>2361</v>
      </c>
      <c r="K5" s="2" t="s">
        <v>3321</v>
      </c>
      <c r="L5" s="8" t="str">
        <f>HYPERLINK("http://slimages.macys.com/is/image/MCY/9936587 ")</f>
        <v xml:space="preserve">http://slimages.macys.com/is/image/MCY/9936587 </v>
      </c>
    </row>
    <row r="6" spans="1:12" ht="30" customHeight="1" x14ac:dyDescent="0.25">
      <c r="A6" s="5" t="s">
        <v>3322</v>
      </c>
      <c r="B6" s="2" t="s">
        <v>3323</v>
      </c>
      <c r="C6" s="3">
        <v>1</v>
      </c>
      <c r="D6" s="6">
        <v>139.99</v>
      </c>
      <c r="E6" s="3" t="s">
        <v>3324</v>
      </c>
      <c r="F6" s="2" t="s">
        <v>2440</v>
      </c>
      <c r="G6" s="7" t="s">
        <v>2367</v>
      </c>
      <c r="H6" s="2" t="s">
        <v>2368</v>
      </c>
      <c r="I6" s="2" t="s">
        <v>2369</v>
      </c>
      <c r="J6" s="2" t="s">
        <v>2361</v>
      </c>
      <c r="K6" s="2" t="s">
        <v>3325</v>
      </c>
      <c r="L6" s="8" t="str">
        <f>HYPERLINK("http://slimages.macys.com/is/image/MCY/9593791 ")</f>
        <v xml:space="preserve">http://slimages.macys.com/is/image/MCY/9593791 </v>
      </c>
    </row>
    <row r="7" spans="1:12" ht="30" customHeight="1" x14ac:dyDescent="0.25">
      <c r="A7" s="5" t="s">
        <v>3326</v>
      </c>
      <c r="B7" s="2" t="s">
        <v>3327</v>
      </c>
      <c r="C7" s="3">
        <v>2</v>
      </c>
      <c r="D7" s="6">
        <v>85.99</v>
      </c>
      <c r="E7" s="3" t="s">
        <v>3328</v>
      </c>
      <c r="F7" s="2" t="s">
        <v>2374</v>
      </c>
      <c r="G7" s="7"/>
      <c r="H7" s="2" t="s">
        <v>2419</v>
      </c>
      <c r="I7" s="2" t="s">
        <v>3329</v>
      </c>
      <c r="J7" s="2" t="s">
        <v>2361</v>
      </c>
      <c r="K7" s="2" t="s">
        <v>2377</v>
      </c>
      <c r="L7" s="8" t="str">
        <f>HYPERLINK("http://slimages.macys.com/is/image/MCY/13753878 ")</f>
        <v xml:space="preserve">http://slimages.macys.com/is/image/MCY/13753878 </v>
      </c>
    </row>
    <row r="8" spans="1:12" ht="30" customHeight="1" x14ac:dyDescent="0.25">
      <c r="A8" s="5" t="s">
        <v>3330</v>
      </c>
      <c r="B8" s="2" t="s">
        <v>3331</v>
      </c>
      <c r="C8" s="3">
        <v>1</v>
      </c>
      <c r="D8" s="6">
        <v>99.99</v>
      </c>
      <c r="E8" s="3" t="s">
        <v>3332</v>
      </c>
      <c r="F8" s="2" t="s">
        <v>2605</v>
      </c>
      <c r="G8" s="7"/>
      <c r="H8" s="2" t="s">
        <v>2368</v>
      </c>
      <c r="I8" s="2" t="s">
        <v>3333</v>
      </c>
      <c r="J8" s="2" t="s">
        <v>2361</v>
      </c>
      <c r="K8" s="2"/>
      <c r="L8" s="8" t="str">
        <f>HYPERLINK("http://slimages.macys.com/is/image/MCY/16334131 ")</f>
        <v xml:space="preserve">http://slimages.macys.com/is/image/MCY/16334131 </v>
      </c>
    </row>
    <row r="9" spans="1:12" ht="30" customHeight="1" x14ac:dyDescent="0.25">
      <c r="A9" s="5" t="s">
        <v>3334</v>
      </c>
      <c r="B9" s="2" t="s">
        <v>3335</v>
      </c>
      <c r="C9" s="3">
        <v>1</v>
      </c>
      <c r="D9" s="6">
        <v>124.99</v>
      </c>
      <c r="E9" s="3" t="s">
        <v>3336</v>
      </c>
      <c r="F9" s="2" t="s">
        <v>2418</v>
      </c>
      <c r="G9" s="7"/>
      <c r="H9" s="2" t="s">
        <v>2359</v>
      </c>
      <c r="I9" s="2" t="s">
        <v>2406</v>
      </c>
      <c r="J9" s="2" t="s">
        <v>2361</v>
      </c>
      <c r="K9" s="2" t="s">
        <v>3337</v>
      </c>
      <c r="L9" s="8" t="str">
        <f>HYPERLINK("http://slimages.macys.com/is/image/MCY/12490006 ")</f>
        <v xml:space="preserve">http://slimages.macys.com/is/image/MCY/12490006 </v>
      </c>
    </row>
    <row r="10" spans="1:12" ht="30" customHeight="1" x14ac:dyDescent="0.25">
      <c r="A10" s="5" t="s">
        <v>3338</v>
      </c>
      <c r="B10" s="2" t="s">
        <v>3339</v>
      </c>
      <c r="C10" s="3">
        <v>3</v>
      </c>
      <c r="D10" s="6">
        <v>83.99</v>
      </c>
      <c r="E10" s="3" t="s">
        <v>3340</v>
      </c>
      <c r="F10" s="2" t="s">
        <v>2512</v>
      </c>
      <c r="G10" s="7" t="s">
        <v>3341</v>
      </c>
      <c r="H10" s="2" t="s">
        <v>2419</v>
      </c>
      <c r="I10" s="2" t="s">
        <v>3342</v>
      </c>
      <c r="J10" s="2" t="s">
        <v>2361</v>
      </c>
      <c r="K10" s="2" t="s">
        <v>2656</v>
      </c>
      <c r="L10" s="8" t="str">
        <f>HYPERLINK("http://slimages.macys.com/is/image/MCY/15165218 ")</f>
        <v xml:space="preserve">http://slimages.macys.com/is/image/MCY/15165218 </v>
      </c>
    </row>
    <row r="11" spans="1:12" ht="30" customHeight="1" x14ac:dyDescent="0.25">
      <c r="A11" s="5" t="s">
        <v>3173</v>
      </c>
      <c r="B11" s="2" t="s">
        <v>3343</v>
      </c>
      <c r="C11" s="3">
        <v>1</v>
      </c>
      <c r="D11" s="6">
        <v>55.99</v>
      </c>
      <c r="E11" s="3" t="s">
        <v>3175</v>
      </c>
      <c r="F11" s="2" t="s">
        <v>2622</v>
      </c>
      <c r="G11" s="7"/>
      <c r="H11" s="2" t="s">
        <v>2419</v>
      </c>
      <c r="I11" s="2" t="s">
        <v>2406</v>
      </c>
      <c r="J11" s="2" t="s">
        <v>2361</v>
      </c>
      <c r="K11" s="2" t="s">
        <v>2377</v>
      </c>
      <c r="L11" s="8" t="str">
        <f>HYPERLINK("http://slimages.macys.com/is/image/MCY/9775066 ")</f>
        <v xml:space="preserve">http://slimages.macys.com/is/image/MCY/9775066 </v>
      </c>
    </row>
    <row r="12" spans="1:12" ht="30" customHeight="1" x14ac:dyDescent="0.25">
      <c r="A12" s="5" t="s">
        <v>3344</v>
      </c>
      <c r="B12" s="2" t="s">
        <v>3345</v>
      </c>
      <c r="C12" s="3">
        <v>1</v>
      </c>
      <c r="D12" s="6">
        <v>55.99</v>
      </c>
      <c r="E12" s="3">
        <v>19676503</v>
      </c>
      <c r="F12" s="2" t="s">
        <v>2424</v>
      </c>
      <c r="G12" s="7"/>
      <c r="H12" s="2" t="s">
        <v>2537</v>
      </c>
      <c r="I12" s="2" t="s">
        <v>2447</v>
      </c>
      <c r="J12" s="2" t="s">
        <v>2432</v>
      </c>
      <c r="K12" s="2" t="s">
        <v>3088</v>
      </c>
      <c r="L12" s="8" t="str">
        <f>HYPERLINK("http://slimages.macys.com/is/image/MCY/10520052 ")</f>
        <v xml:space="preserve">http://slimages.macys.com/is/image/MCY/10520052 </v>
      </c>
    </row>
    <row r="13" spans="1:12" ht="30" customHeight="1" x14ac:dyDescent="0.25">
      <c r="A13" s="5" t="s">
        <v>3346</v>
      </c>
      <c r="B13" s="2" t="s">
        <v>3347</v>
      </c>
      <c r="C13" s="3">
        <v>1</v>
      </c>
      <c r="D13" s="6">
        <v>99.99</v>
      </c>
      <c r="E13" s="3" t="s">
        <v>3348</v>
      </c>
      <c r="F13" s="2" t="s">
        <v>2401</v>
      </c>
      <c r="G13" s="7"/>
      <c r="H13" s="2" t="s">
        <v>2368</v>
      </c>
      <c r="I13" s="2" t="s">
        <v>2369</v>
      </c>
      <c r="J13" s="2" t="s">
        <v>2361</v>
      </c>
      <c r="K13" s="2" t="s">
        <v>3349</v>
      </c>
      <c r="L13" s="8" t="str">
        <f>HYPERLINK("http://slimages.macys.com/is/image/MCY/16143905 ")</f>
        <v xml:space="preserve">http://slimages.macys.com/is/image/MCY/16143905 </v>
      </c>
    </row>
    <row r="14" spans="1:12" ht="30" customHeight="1" x14ac:dyDescent="0.25">
      <c r="A14" s="5" t="s">
        <v>3350</v>
      </c>
      <c r="B14" s="2" t="s">
        <v>3351</v>
      </c>
      <c r="C14" s="3">
        <v>1</v>
      </c>
      <c r="D14" s="6">
        <v>49.99</v>
      </c>
      <c r="E14" s="3" t="s">
        <v>3352</v>
      </c>
      <c r="F14" s="2" t="s">
        <v>3038</v>
      </c>
      <c r="G14" s="7"/>
      <c r="H14" s="2" t="s">
        <v>2537</v>
      </c>
      <c r="I14" s="2" t="s">
        <v>3353</v>
      </c>
      <c r="J14" s="2" t="s">
        <v>2361</v>
      </c>
      <c r="K14" s="2"/>
      <c r="L14" s="8" t="str">
        <f>HYPERLINK("http://slimages.macys.com/is/image/MCY/12658743 ")</f>
        <v xml:space="preserve">http://slimages.macys.com/is/image/MCY/12658743 </v>
      </c>
    </row>
    <row r="15" spans="1:12" ht="30" customHeight="1" x14ac:dyDescent="0.25">
      <c r="A15" s="5" t="s">
        <v>3354</v>
      </c>
      <c r="B15" s="2" t="s">
        <v>3355</v>
      </c>
      <c r="C15" s="3">
        <v>1</v>
      </c>
      <c r="D15" s="6">
        <v>50</v>
      </c>
      <c r="E15" s="3" t="s">
        <v>3356</v>
      </c>
      <c r="F15" s="2" t="s">
        <v>2366</v>
      </c>
      <c r="G15" s="7" t="s">
        <v>3357</v>
      </c>
      <c r="H15" s="2" t="s">
        <v>2879</v>
      </c>
      <c r="I15" s="2" t="s">
        <v>2880</v>
      </c>
      <c r="J15" s="2" t="s">
        <v>2361</v>
      </c>
      <c r="K15" s="2" t="s">
        <v>2881</v>
      </c>
      <c r="L15" s="8" t="str">
        <f>HYPERLINK("http://slimages.macys.com/is/image/MCY/9418199 ")</f>
        <v xml:space="preserve">http://slimages.macys.com/is/image/MCY/9418199 </v>
      </c>
    </row>
    <row r="16" spans="1:12" ht="30" customHeight="1" x14ac:dyDescent="0.25">
      <c r="A16" s="5" t="s">
        <v>3358</v>
      </c>
      <c r="B16" s="2" t="s">
        <v>3359</v>
      </c>
      <c r="C16" s="3">
        <v>3</v>
      </c>
      <c r="D16" s="6">
        <v>59.99</v>
      </c>
      <c r="E16" s="3">
        <v>81337</v>
      </c>
      <c r="F16" s="2" t="s">
        <v>2768</v>
      </c>
      <c r="G16" s="7"/>
      <c r="H16" s="2" t="s">
        <v>2359</v>
      </c>
      <c r="I16" s="2" t="s">
        <v>2360</v>
      </c>
      <c r="J16" s="2" t="s">
        <v>2361</v>
      </c>
      <c r="K16" s="2" t="s">
        <v>2377</v>
      </c>
      <c r="L16" s="8" t="str">
        <f>HYPERLINK("http://slimages.macys.com/is/image/MCY/15670928 ")</f>
        <v xml:space="preserve">http://slimages.macys.com/is/image/MCY/15670928 </v>
      </c>
    </row>
    <row r="17" spans="1:12" ht="30" customHeight="1" x14ac:dyDescent="0.25">
      <c r="A17" s="5" t="s">
        <v>3360</v>
      </c>
      <c r="B17" s="2" t="s">
        <v>3361</v>
      </c>
      <c r="C17" s="3">
        <v>1</v>
      </c>
      <c r="D17" s="6">
        <v>49.99</v>
      </c>
      <c r="E17" s="3">
        <v>22246222</v>
      </c>
      <c r="F17" s="2" t="s">
        <v>2440</v>
      </c>
      <c r="G17" s="7"/>
      <c r="H17" s="2" t="s">
        <v>2359</v>
      </c>
      <c r="I17" s="2" t="s">
        <v>2447</v>
      </c>
      <c r="J17" s="2" t="s">
        <v>2361</v>
      </c>
      <c r="K17" s="2" t="s">
        <v>2377</v>
      </c>
      <c r="L17" s="8" t="str">
        <f>HYPERLINK("http://slimages.macys.com/is/image/MCY/16687323 ")</f>
        <v xml:space="preserve">http://slimages.macys.com/is/image/MCY/16687323 </v>
      </c>
    </row>
    <row r="18" spans="1:12" ht="30" customHeight="1" x14ac:dyDescent="0.25">
      <c r="A18" s="5" t="s">
        <v>3362</v>
      </c>
      <c r="B18" s="2" t="s">
        <v>3363</v>
      </c>
      <c r="C18" s="3">
        <v>1</v>
      </c>
      <c r="D18" s="6">
        <v>49.99</v>
      </c>
      <c r="E18" s="3" t="s">
        <v>3364</v>
      </c>
      <c r="F18" s="2" t="s">
        <v>2517</v>
      </c>
      <c r="G18" s="7"/>
      <c r="H18" s="2" t="s">
        <v>2359</v>
      </c>
      <c r="I18" s="2" t="s">
        <v>2447</v>
      </c>
      <c r="J18" s="2" t="s">
        <v>2361</v>
      </c>
      <c r="K18" s="2" t="s">
        <v>2377</v>
      </c>
      <c r="L18" s="8" t="str">
        <f>HYPERLINK("http://slimages.macys.com/is/image/MCY/8347198 ")</f>
        <v xml:space="preserve">http://slimages.macys.com/is/image/MCY/8347198 </v>
      </c>
    </row>
    <row r="19" spans="1:12" ht="30" customHeight="1" x14ac:dyDescent="0.25">
      <c r="A19" s="5" t="s">
        <v>3365</v>
      </c>
      <c r="B19" s="2" t="s">
        <v>3366</v>
      </c>
      <c r="C19" s="3">
        <v>1</v>
      </c>
      <c r="D19" s="6">
        <v>49.99</v>
      </c>
      <c r="E19" s="3">
        <v>22242222</v>
      </c>
      <c r="F19" s="2" t="s">
        <v>3367</v>
      </c>
      <c r="G19" s="7"/>
      <c r="H19" s="2" t="s">
        <v>2359</v>
      </c>
      <c r="I19" s="2" t="s">
        <v>2447</v>
      </c>
      <c r="J19" s="2"/>
      <c r="K19" s="2"/>
      <c r="L19" s="8" t="str">
        <f>HYPERLINK("http://slimages.macys.com/is/image/MCY/16839834 ")</f>
        <v xml:space="preserve">http://slimages.macys.com/is/image/MCY/16839834 </v>
      </c>
    </row>
    <row r="20" spans="1:12" ht="30" customHeight="1" x14ac:dyDescent="0.25">
      <c r="A20" s="5" t="s">
        <v>3368</v>
      </c>
      <c r="B20" s="2" t="s">
        <v>3369</v>
      </c>
      <c r="C20" s="3">
        <v>1</v>
      </c>
      <c r="D20" s="6">
        <v>69.989999999999995</v>
      </c>
      <c r="E20" s="3" t="s">
        <v>3370</v>
      </c>
      <c r="F20" s="2" t="s">
        <v>2512</v>
      </c>
      <c r="G20" s="7" t="s">
        <v>3371</v>
      </c>
      <c r="H20" s="2" t="s">
        <v>2430</v>
      </c>
      <c r="I20" s="2" t="s">
        <v>2406</v>
      </c>
      <c r="J20" s="2" t="s">
        <v>2361</v>
      </c>
      <c r="K20" s="2" t="s">
        <v>3372</v>
      </c>
      <c r="L20" s="8" t="str">
        <f>HYPERLINK("http://slimages.macys.com/is/image/MCY/3086715 ")</f>
        <v xml:space="preserve">http://slimages.macys.com/is/image/MCY/3086715 </v>
      </c>
    </row>
    <row r="21" spans="1:12" ht="30" customHeight="1" x14ac:dyDescent="0.25">
      <c r="A21" s="5" t="s">
        <v>3373</v>
      </c>
      <c r="B21" s="2" t="s">
        <v>3374</v>
      </c>
      <c r="C21" s="3">
        <v>1</v>
      </c>
      <c r="D21" s="6">
        <v>59.99</v>
      </c>
      <c r="E21" s="3">
        <v>81335</v>
      </c>
      <c r="F21" s="2" t="s">
        <v>2768</v>
      </c>
      <c r="G21" s="7"/>
      <c r="H21" s="2" t="s">
        <v>2359</v>
      </c>
      <c r="I21" s="2" t="s">
        <v>2360</v>
      </c>
      <c r="J21" s="2" t="s">
        <v>2361</v>
      </c>
      <c r="K21" s="2" t="s">
        <v>2377</v>
      </c>
      <c r="L21" s="8" t="str">
        <f>HYPERLINK("http://slimages.macys.com/is/image/MCY/15670928 ")</f>
        <v xml:space="preserve">http://slimages.macys.com/is/image/MCY/15670928 </v>
      </c>
    </row>
    <row r="22" spans="1:12" ht="30" customHeight="1" x14ac:dyDescent="0.25">
      <c r="A22" s="5" t="s">
        <v>3375</v>
      </c>
      <c r="B22" s="2" t="s">
        <v>3376</v>
      </c>
      <c r="C22" s="3">
        <v>1</v>
      </c>
      <c r="D22" s="6">
        <v>59.99</v>
      </c>
      <c r="E22" s="3" t="s">
        <v>3377</v>
      </c>
      <c r="F22" s="2" t="s">
        <v>2374</v>
      </c>
      <c r="G22" s="7"/>
      <c r="H22" s="2" t="s">
        <v>2465</v>
      </c>
      <c r="I22" s="2" t="s">
        <v>2466</v>
      </c>
      <c r="J22" s="2" t="s">
        <v>2467</v>
      </c>
      <c r="K22" s="2" t="s">
        <v>3378</v>
      </c>
      <c r="L22" s="8" t="str">
        <f>HYPERLINK("http://slimages.macys.com/is/image/MCY/13368404 ")</f>
        <v xml:space="preserve">http://slimages.macys.com/is/image/MCY/13368404 </v>
      </c>
    </row>
    <row r="23" spans="1:12" ht="30" customHeight="1" x14ac:dyDescent="0.25">
      <c r="A23" s="5" t="s">
        <v>3379</v>
      </c>
      <c r="B23" s="2" t="s">
        <v>3380</v>
      </c>
      <c r="C23" s="3">
        <v>1</v>
      </c>
      <c r="D23" s="6">
        <v>29.99</v>
      </c>
      <c r="E23" s="3">
        <v>1005863900</v>
      </c>
      <c r="F23" s="2" t="s">
        <v>3381</v>
      </c>
      <c r="G23" s="7" t="s">
        <v>2531</v>
      </c>
      <c r="H23" s="2" t="s">
        <v>2532</v>
      </c>
      <c r="I23" s="2" t="s">
        <v>2928</v>
      </c>
      <c r="J23" s="2" t="s">
        <v>2361</v>
      </c>
      <c r="K23" s="2" t="s">
        <v>2448</v>
      </c>
      <c r="L23" s="8" t="str">
        <f>HYPERLINK("http://slimages.macys.com/is/image/MCY/13611442 ")</f>
        <v xml:space="preserve">http://slimages.macys.com/is/image/MCY/13611442 </v>
      </c>
    </row>
    <row r="24" spans="1:12" ht="30" customHeight="1" x14ac:dyDescent="0.25">
      <c r="A24" s="5" t="s">
        <v>3382</v>
      </c>
      <c r="B24" s="2" t="s">
        <v>3383</v>
      </c>
      <c r="C24" s="3">
        <v>1</v>
      </c>
      <c r="D24" s="6">
        <v>29.99</v>
      </c>
      <c r="E24" s="3" t="s">
        <v>3384</v>
      </c>
      <c r="F24" s="2"/>
      <c r="G24" s="7"/>
      <c r="H24" s="2" t="s">
        <v>2359</v>
      </c>
      <c r="I24" s="2" t="s">
        <v>2803</v>
      </c>
      <c r="J24" s="2" t="s">
        <v>2361</v>
      </c>
      <c r="K24" s="2" t="s">
        <v>2377</v>
      </c>
      <c r="L24" s="8" t="str">
        <f>HYPERLINK("http://slimages.macys.com/is/image/MCY/16686138 ")</f>
        <v xml:space="preserve">http://slimages.macys.com/is/image/MCY/16686138 </v>
      </c>
    </row>
    <row r="25" spans="1:12" ht="30" customHeight="1" x14ac:dyDescent="0.25">
      <c r="A25" s="5" t="s">
        <v>3385</v>
      </c>
      <c r="B25" s="2" t="s">
        <v>3386</v>
      </c>
      <c r="C25" s="3">
        <v>2</v>
      </c>
      <c r="D25" s="6">
        <v>24.99</v>
      </c>
      <c r="E25" s="3" t="s">
        <v>3387</v>
      </c>
      <c r="F25" s="2" t="s">
        <v>2381</v>
      </c>
      <c r="G25" s="7"/>
      <c r="H25" s="2" t="s">
        <v>2459</v>
      </c>
      <c r="I25" s="2" t="s">
        <v>2447</v>
      </c>
      <c r="J25" s="2" t="s">
        <v>2361</v>
      </c>
      <c r="K25" s="2" t="s">
        <v>2377</v>
      </c>
      <c r="L25" s="8" t="str">
        <f>HYPERLINK("http://slimages.macys.com/is/image/MCY/9367759 ")</f>
        <v xml:space="preserve">http://slimages.macys.com/is/image/MCY/9367759 </v>
      </c>
    </row>
    <row r="26" spans="1:12" ht="30" customHeight="1" x14ac:dyDescent="0.25">
      <c r="A26" s="5" t="s">
        <v>3388</v>
      </c>
      <c r="B26" s="2" t="s">
        <v>3389</v>
      </c>
      <c r="C26" s="3">
        <v>1</v>
      </c>
      <c r="D26" s="6">
        <v>25.99</v>
      </c>
      <c r="E26" s="3">
        <v>1006225600</v>
      </c>
      <c r="F26" s="2" t="s">
        <v>2440</v>
      </c>
      <c r="G26" s="7"/>
      <c r="H26" s="2" t="s">
        <v>2815</v>
      </c>
      <c r="I26" s="2" t="s">
        <v>3390</v>
      </c>
      <c r="J26" s="2" t="s">
        <v>2361</v>
      </c>
      <c r="K26" s="2" t="s">
        <v>3391</v>
      </c>
      <c r="L26" s="8" t="str">
        <f>HYPERLINK("http://slimages.macys.com/is/image/MCY/14311816 ")</f>
        <v xml:space="preserve">http://slimages.macys.com/is/image/MCY/14311816 </v>
      </c>
    </row>
    <row r="27" spans="1:12" ht="30" customHeight="1" x14ac:dyDescent="0.25">
      <c r="A27" s="5" t="s">
        <v>3392</v>
      </c>
      <c r="B27" s="2" t="s">
        <v>3393</v>
      </c>
      <c r="C27" s="3">
        <v>1</v>
      </c>
      <c r="D27" s="6">
        <v>25.99</v>
      </c>
      <c r="E27" s="3">
        <v>1005986400</v>
      </c>
      <c r="F27" s="2" t="s">
        <v>2381</v>
      </c>
      <c r="G27" s="7"/>
      <c r="H27" s="2" t="s">
        <v>2815</v>
      </c>
      <c r="I27" s="2" t="s">
        <v>3390</v>
      </c>
      <c r="J27" s="2" t="s">
        <v>2361</v>
      </c>
      <c r="K27" s="2" t="s">
        <v>3391</v>
      </c>
      <c r="L27" s="8" t="str">
        <f>HYPERLINK("http://slimages.macys.com/is/image/MCY/14311811 ")</f>
        <v xml:space="preserve">http://slimages.macys.com/is/image/MCY/14311811 </v>
      </c>
    </row>
    <row r="28" spans="1:12" ht="30" customHeight="1" x14ac:dyDescent="0.25">
      <c r="A28" s="5" t="s">
        <v>3394</v>
      </c>
      <c r="B28" s="2" t="s">
        <v>3395</v>
      </c>
      <c r="C28" s="3">
        <v>2</v>
      </c>
      <c r="D28" s="6">
        <v>19.989999999999998</v>
      </c>
      <c r="E28" s="3">
        <v>1005864000</v>
      </c>
      <c r="F28" s="2" t="s">
        <v>2849</v>
      </c>
      <c r="G28" s="7" t="s">
        <v>2546</v>
      </c>
      <c r="H28" s="2" t="s">
        <v>2532</v>
      </c>
      <c r="I28" s="2" t="s">
        <v>2928</v>
      </c>
      <c r="J28" s="2" t="s">
        <v>2361</v>
      </c>
      <c r="K28" s="2" t="s">
        <v>2448</v>
      </c>
      <c r="L28" s="8" t="str">
        <f>HYPERLINK("http://slimages.macys.com/is/image/MCY/14475395 ")</f>
        <v xml:space="preserve">http://slimages.macys.com/is/image/MCY/14475395 </v>
      </c>
    </row>
    <row r="29" spans="1:12" ht="30" customHeight="1" x14ac:dyDescent="0.25">
      <c r="A29" s="5" t="s">
        <v>3396</v>
      </c>
      <c r="B29" s="2" t="s">
        <v>3397</v>
      </c>
      <c r="C29" s="3">
        <v>1</v>
      </c>
      <c r="D29" s="6">
        <v>19.989999999999998</v>
      </c>
      <c r="E29" s="3">
        <v>1005864000</v>
      </c>
      <c r="F29" s="2" t="s">
        <v>3381</v>
      </c>
      <c r="G29" s="7" t="s">
        <v>2546</v>
      </c>
      <c r="H29" s="2" t="s">
        <v>2532</v>
      </c>
      <c r="I29" s="2" t="s">
        <v>2928</v>
      </c>
      <c r="J29" s="2" t="s">
        <v>2361</v>
      </c>
      <c r="K29" s="2" t="s">
        <v>2448</v>
      </c>
      <c r="L29" s="8" t="str">
        <f>HYPERLINK("http://slimages.macys.com/is/image/MCY/14475395 ")</f>
        <v xml:space="preserve">http://slimages.macys.com/is/image/MCY/14475395 </v>
      </c>
    </row>
    <row r="30" spans="1:12" ht="30" customHeight="1" x14ac:dyDescent="0.25">
      <c r="A30" s="5" t="s">
        <v>3398</v>
      </c>
      <c r="B30" s="2" t="s">
        <v>3399</v>
      </c>
      <c r="C30" s="3">
        <v>1</v>
      </c>
      <c r="D30" s="6">
        <v>15.99</v>
      </c>
      <c r="E30" s="3" t="s">
        <v>3400</v>
      </c>
      <c r="F30" s="2" t="s">
        <v>2374</v>
      </c>
      <c r="G30" s="7" t="s">
        <v>2382</v>
      </c>
      <c r="H30" s="2" t="s">
        <v>2412</v>
      </c>
      <c r="I30" s="2" t="s">
        <v>3401</v>
      </c>
      <c r="J30" s="2" t="s">
        <v>2862</v>
      </c>
      <c r="K30" s="2" t="s">
        <v>3402</v>
      </c>
      <c r="L30" s="8" t="str">
        <f>HYPERLINK("http://slimages.macys.com/is/image/MCY/16541166 ")</f>
        <v xml:space="preserve">http://slimages.macys.com/is/image/MCY/16541166 </v>
      </c>
    </row>
    <row r="31" spans="1:12" ht="30" customHeight="1" x14ac:dyDescent="0.25">
      <c r="A31" s="5" t="s">
        <v>3403</v>
      </c>
      <c r="B31" s="2" t="s">
        <v>3404</v>
      </c>
      <c r="C31" s="3">
        <v>1</v>
      </c>
      <c r="D31" s="6">
        <v>9.99</v>
      </c>
      <c r="E31" s="3">
        <v>1005864100</v>
      </c>
      <c r="F31" s="2" t="s">
        <v>2849</v>
      </c>
      <c r="G31" s="7" t="s">
        <v>2553</v>
      </c>
      <c r="H31" s="2" t="s">
        <v>2532</v>
      </c>
      <c r="I31" s="2" t="s">
        <v>2928</v>
      </c>
      <c r="J31" s="2" t="s">
        <v>2361</v>
      </c>
      <c r="K31" s="2" t="s">
        <v>2448</v>
      </c>
      <c r="L31" s="8" t="str">
        <f>HYPERLINK("http://slimages.macys.com/is/image/MCY/14475400 ")</f>
        <v xml:space="preserve">http://slimages.macys.com/is/image/MCY/14475400 </v>
      </c>
    </row>
    <row r="32" spans="1:12" ht="30" customHeight="1" x14ac:dyDescent="0.25">
      <c r="A32" s="5" t="s">
        <v>3405</v>
      </c>
      <c r="B32" s="2" t="s">
        <v>3406</v>
      </c>
      <c r="C32" s="3">
        <v>2</v>
      </c>
      <c r="D32" s="6">
        <v>3.99</v>
      </c>
      <c r="E32" s="3" t="s">
        <v>3407</v>
      </c>
      <c r="F32" s="2" t="s">
        <v>3408</v>
      </c>
      <c r="G32" s="7" t="s">
        <v>2531</v>
      </c>
      <c r="H32" s="2" t="s">
        <v>2446</v>
      </c>
      <c r="I32" s="2" t="s">
        <v>2447</v>
      </c>
      <c r="J32" s="2" t="s">
        <v>2361</v>
      </c>
      <c r="K32" s="2"/>
      <c r="L32" s="8" t="str">
        <f>HYPERLINK("http://slimages.macys.com/is/image/MCY/13909845 ")</f>
        <v xml:space="preserve">http://slimages.macys.com/is/image/MCY/13909845 </v>
      </c>
    </row>
    <row r="33" spans="1:12" ht="30" customHeight="1" x14ac:dyDescent="0.25">
      <c r="A33" s="5" t="s">
        <v>3409</v>
      </c>
      <c r="B33" s="2" t="s">
        <v>3410</v>
      </c>
      <c r="C33" s="3">
        <v>1</v>
      </c>
      <c r="D33" s="6">
        <v>250</v>
      </c>
      <c r="E33" s="3" t="s">
        <v>3411</v>
      </c>
      <c r="F33" s="2" t="s">
        <v>2506</v>
      </c>
      <c r="G33" s="7" t="s">
        <v>3412</v>
      </c>
      <c r="H33" s="2" t="s">
        <v>2879</v>
      </c>
      <c r="I33" s="2" t="s">
        <v>3413</v>
      </c>
      <c r="J33" s="2"/>
      <c r="K33" s="2"/>
      <c r="L33" s="8"/>
    </row>
    <row r="34" spans="1:12" ht="30" customHeight="1" x14ac:dyDescent="0.25">
      <c r="A34" s="5" t="s">
        <v>3414</v>
      </c>
      <c r="B34" s="2" t="s">
        <v>3415</v>
      </c>
      <c r="C34" s="3">
        <v>3</v>
      </c>
      <c r="D34" s="6">
        <v>180</v>
      </c>
      <c r="E34" s="3" t="s">
        <v>3416</v>
      </c>
      <c r="F34" s="2" t="s">
        <v>2512</v>
      </c>
      <c r="G34" s="7"/>
      <c r="H34" s="2" t="s">
        <v>2359</v>
      </c>
      <c r="I34" s="2" t="s">
        <v>3417</v>
      </c>
      <c r="J34" s="2"/>
      <c r="K34" s="2"/>
      <c r="L34" s="8"/>
    </row>
    <row r="35" spans="1:12" ht="30" customHeight="1" x14ac:dyDescent="0.25">
      <c r="A35" s="5" t="s">
        <v>3418</v>
      </c>
      <c r="B35" s="2" t="s">
        <v>3419</v>
      </c>
      <c r="C35" s="3">
        <v>1</v>
      </c>
      <c r="D35" s="6">
        <v>180</v>
      </c>
      <c r="E35" s="3" t="s">
        <v>3420</v>
      </c>
      <c r="F35" s="2" t="s">
        <v>2512</v>
      </c>
      <c r="G35" s="7" t="s">
        <v>3421</v>
      </c>
      <c r="H35" s="2" t="s">
        <v>2359</v>
      </c>
      <c r="I35" s="2" t="s">
        <v>3417</v>
      </c>
      <c r="J35" s="2"/>
      <c r="K35" s="2"/>
      <c r="L35" s="8"/>
    </row>
    <row r="36" spans="1:12" ht="30" customHeight="1" x14ac:dyDescent="0.25">
      <c r="A36" s="5" t="s">
        <v>3422</v>
      </c>
      <c r="B36" s="2" t="s">
        <v>3423</v>
      </c>
      <c r="C36" s="3">
        <v>9</v>
      </c>
      <c r="D36" s="6">
        <v>40</v>
      </c>
      <c r="E36" s="3"/>
      <c r="F36" s="2" t="s">
        <v>2464</v>
      </c>
      <c r="G36" s="7" t="s">
        <v>2382</v>
      </c>
      <c r="H36" s="2" t="s">
        <v>3424</v>
      </c>
      <c r="I36" s="2" t="s">
        <v>3425</v>
      </c>
      <c r="J36" s="2"/>
      <c r="K36" s="2"/>
      <c r="L36" s="8"/>
    </row>
    <row r="37" spans="1:12" ht="30" customHeight="1" x14ac:dyDescent="0.25">
      <c r="A37" s="5" t="s">
        <v>3426</v>
      </c>
      <c r="B37" s="2" t="s">
        <v>3427</v>
      </c>
      <c r="C37" s="3">
        <v>2</v>
      </c>
      <c r="D37" s="6">
        <v>49.99</v>
      </c>
      <c r="E37" s="3" t="s">
        <v>3428</v>
      </c>
      <c r="F37" s="2" t="s">
        <v>2374</v>
      </c>
      <c r="G37" s="7"/>
      <c r="H37" s="2" t="s">
        <v>2537</v>
      </c>
      <c r="I37" s="2" t="s">
        <v>3353</v>
      </c>
      <c r="J37" s="2"/>
      <c r="K37" s="2"/>
      <c r="L37" s="8"/>
    </row>
    <row r="38" spans="1:12" ht="30" customHeight="1" x14ac:dyDescent="0.25">
      <c r="A38" s="5" t="s">
        <v>3429</v>
      </c>
      <c r="B38" s="2" t="s">
        <v>3430</v>
      </c>
      <c r="C38" s="3">
        <v>3</v>
      </c>
      <c r="D38" s="6">
        <v>95</v>
      </c>
      <c r="E38" s="3" t="s">
        <v>3431</v>
      </c>
      <c r="F38" s="2" t="s">
        <v>2394</v>
      </c>
      <c r="G38" s="7" t="s">
        <v>3432</v>
      </c>
      <c r="H38" s="2" t="s">
        <v>3433</v>
      </c>
      <c r="I38" s="2" t="s">
        <v>3434</v>
      </c>
      <c r="J38" s="2"/>
      <c r="K38" s="2"/>
      <c r="L38" s="8"/>
    </row>
    <row r="39" spans="1:12" ht="30" customHeight="1" x14ac:dyDescent="0.25">
      <c r="A39" s="5" t="s">
        <v>3435</v>
      </c>
      <c r="B39" s="2" t="s">
        <v>3436</v>
      </c>
      <c r="C39" s="3">
        <v>6</v>
      </c>
      <c r="D39" s="6">
        <v>16.989999999999998</v>
      </c>
      <c r="E39" s="3" t="s">
        <v>3437</v>
      </c>
      <c r="F39" s="2" t="s">
        <v>2953</v>
      </c>
      <c r="G39" s="7"/>
      <c r="H39" s="2" t="s">
        <v>2537</v>
      </c>
      <c r="I39" s="2" t="s">
        <v>2538</v>
      </c>
      <c r="J39" s="2"/>
      <c r="K39" s="2"/>
      <c r="L39" s="8"/>
    </row>
    <row r="40" spans="1:12" ht="30" customHeight="1" x14ac:dyDescent="0.25">
      <c r="A40" s="5" t="s">
        <v>3438</v>
      </c>
      <c r="B40" s="2" t="s">
        <v>3439</v>
      </c>
      <c r="C40" s="3">
        <v>2</v>
      </c>
      <c r="D40" s="6">
        <v>16.989999999999998</v>
      </c>
      <c r="E40" s="3">
        <v>1010837900</v>
      </c>
      <c r="F40" s="2" t="s">
        <v>2605</v>
      </c>
      <c r="G40" s="7" t="s">
        <v>2531</v>
      </c>
      <c r="H40" s="2" t="s">
        <v>2532</v>
      </c>
      <c r="I40" s="2" t="s">
        <v>2928</v>
      </c>
      <c r="J40" s="2"/>
      <c r="K40" s="2"/>
      <c r="L40" s="8"/>
    </row>
    <row r="41" spans="1:12" ht="30" customHeight="1" x14ac:dyDescent="0.25">
      <c r="A41" s="5" t="s">
        <v>3440</v>
      </c>
      <c r="B41" s="2" t="s">
        <v>3441</v>
      </c>
      <c r="C41" s="3">
        <v>1</v>
      </c>
      <c r="D41" s="6">
        <v>14.99</v>
      </c>
      <c r="E41" s="3" t="s">
        <v>3442</v>
      </c>
      <c r="F41" s="2"/>
      <c r="G41" s="7"/>
      <c r="H41" s="2" t="s">
        <v>2359</v>
      </c>
      <c r="I41" s="2" t="s">
        <v>2727</v>
      </c>
      <c r="J41" s="2"/>
      <c r="K41" s="2"/>
      <c r="L41" s="8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RowHeight="30" customHeight="1" x14ac:dyDescent="0.25"/>
  <cols>
    <col min="1" max="1" width="14.28515625" customWidth="1"/>
    <col min="2" max="2" width="45.7109375" customWidth="1"/>
    <col min="3" max="4" width="15" customWidth="1"/>
    <col min="5" max="5" width="17.140625" customWidth="1"/>
    <col min="6" max="6" width="11.42578125" customWidth="1"/>
    <col min="7" max="7" width="10.8554687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3443</v>
      </c>
      <c r="B2" s="2" t="s">
        <v>3444</v>
      </c>
      <c r="C2" s="3">
        <v>1</v>
      </c>
      <c r="D2" s="6">
        <v>199.99</v>
      </c>
      <c r="E2" s="3" t="s">
        <v>3445</v>
      </c>
      <c r="F2" s="2" t="s">
        <v>2927</v>
      </c>
      <c r="G2" s="7"/>
      <c r="H2" s="2" t="s">
        <v>2375</v>
      </c>
      <c r="I2" s="2" t="s">
        <v>3446</v>
      </c>
      <c r="J2" s="2" t="s">
        <v>2361</v>
      </c>
      <c r="K2" s="2" t="s">
        <v>2656</v>
      </c>
      <c r="L2" s="8" t="str">
        <f>HYPERLINK("http://slimages.macys.com/is/image/MCY/11337381 ")</f>
        <v xml:space="preserve">http://slimages.macys.com/is/image/MCY/11337381 </v>
      </c>
    </row>
    <row r="3" spans="1:12" ht="30" customHeight="1" x14ac:dyDescent="0.25">
      <c r="A3" s="5" t="s">
        <v>3447</v>
      </c>
      <c r="B3" s="2" t="s">
        <v>3448</v>
      </c>
      <c r="C3" s="3">
        <v>1</v>
      </c>
      <c r="D3" s="6">
        <v>276.99</v>
      </c>
      <c r="E3" s="3" t="s">
        <v>3449</v>
      </c>
      <c r="F3" s="2" t="s">
        <v>2793</v>
      </c>
      <c r="G3" s="7"/>
      <c r="H3" s="2" t="s">
        <v>2375</v>
      </c>
      <c r="I3" s="2" t="s">
        <v>3450</v>
      </c>
      <c r="J3" s="2" t="s">
        <v>2361</v>
      </c>
      <c r="K3" s="2" t="s">
        <v>2508</v>
      </c>
      <c r="L3" s="8" t="str">
        <f>HYPERLINK("http://slimages.macys.com/is/image/MCY/11495054 ")</f>
        <v xml:space="preserve">http://slimages.macys.com/is/image/MCY/11495054 </v>
      </c>
    </row>
    <row r="4" spans="1:12" ht="30" customHeight="1" x14ac:dyDescent="0.25">
      <c r="A4" s="5" t="s">
        <v>3451</v>
      </c>
      <c r="B4" s="2" t="s">
        <v>3452</v>
      </c>
      <c r="C4" s="3">
        <v>2</v>
      </c>
      <c r="D4" s="6">
        <v>149.99</v>
      </c>
      <c r="E4" s="3" t="s">
        <v>3453</v>
      </c>
      <c r="F4" s="2" t="s">
        <v>2374</v>
      </c>
      <c r="G4" s="7" t="s">
        <v>2382</v>
      </c>
      <c r="H4" s="2" t="s">
        <v>2412</v>
      </c>
      <c r="I4" s="2" t="s">
        <v>3454</v>
      </c>
      <c r="J4" s="2" t="s">
        <v>2467</v>
      </c>
      <c r="K4" s="2" t="s">
        <v>3455</v>
      </c>
      <c r="L4" s="8" t="str">
        <f>HYPERLINK("http://slimages.macys.com/is/image/MCY/15209750 ")</f>
        <v xml:space="preserve">http://slimages.macys.com/is/image/MCY/15209750 </v>
      </c>
    </row>
    <row r="5" spans="1:12" ht="30" customHeight="1" x14ac:dyDescent="0.25">
      <c r="A5" s="5" t="s">
        <v>3456</v>
      </c>
      <c r="B5" s="2" t="s">
        <v>3457</v>
      </c>
      <c r="C5" s="3">
        <v>1</v>
      </c>
      <c r="D5" s="6">
        <v>165.99</v>
      </c>
      <c r="E5" s="3" t="s">
        <v>3458</v>
      </c>
      <c r="F5" s="2" t="s">
        <v>2440</v>
      </c>
      <c r="G5" s="7"/>
      <c r="H5" s="2" t="s">
        <v>2359</v>
      </c>
      <c r="I5" s="2" t="s">
        <v>2406</v>
      </c>
      <c r="J5" s="2" t="s">
        <v>2361</v>
      </c>
      <c r="K5" s="2" t="s">
        <v>3459</v>
      </c>
      <c r="L5" s="8" t="str">
        <f>HYPERLINK("http://slimages.macys.com/is/image/MCY/8936712 ")</f>
        <v xml:space="preserve">http://slimages.macys.com/is/image/MCY/8936712 </v>
      </c>
    </row>
    <row r="6" spans="1:12" ht="30" customHeight="1" x14ac:dyDescent="0.25">
      <c r="A6" s="5" t="s">
        <v>3460</v>
      </c>
      <c r="B6" s="2" t="s">
        <v>3461</v>
      </c>
      <c r="C6" s="3">
        <v>1</v>
      </c>
      <c r="D6" s="6">
        <v>116.99</v>
      </c>
      <c r="E6" s="3" t="s">
        <v>3462</v>
      </c>
      <c r="F6" s="2" t="s">
        <v>2381</v>
      </c>
      <c r="G6" s="7"/>
      <c r="H6" s="2" t="s">
        <v>2419</v>
      </c>
      <c r="I6" s="2" t="s">
        <v>2406</v>
      </c>
      <c r="J6" s="2" t="s">
        <v>2361</v>
      </c>
      <c r="K6" s="2" t="s">
        <v>2397</v>
      </c>
      <c r="L6" s="8" t="str">
        <f>HYPERLINK("http://slimages.macys.com/is/image/MCY/11113982 ")</f>
        <v xml:space="preserve">http://slimages.macys.com/is/image/MCY/11113982 </v>
      </c>
    </row>
    <row r="7" spans="1:12" ht="30" customHeight="1" x14ac:dyDescent="0.25">
      <c r="A7" s="5" t="s">
        <v>3463</v>
      </c>
      <c r="B7" s="2" t="s">
        <v>3464</v>
      </c>
      <c r="C7" s="3">
        <v>1</v>
      </c>
      <c r="D7" s="6">
        <v>129.99</v>
      </c>
      <c r="E7" s="3" t="s">
        <v>3465</v>
      </c>
      <c r="F7" s="2" t="s">
        <v>3367</v>
      </c>
      <c r="G7" s="7"/>
      <c r="H7" s="2" t="s">
        <v>2359</v>
      </c>
      <c r="I7" s="2" t="s">
        <v>2406</v>
      </c>
      <c r="J7" s="2" t="s">
        <v>2361</v>
      </c>
      <c r="K7" s="2" t="s">
        <v>3466</v>
      </c>
      <c r="L7" s="8" t="str">
        <f>HYPERLINK("http://slimages.macys.com/is/image/MCY/8931970 ")</f>
        <v xml:space="preserve">http://slimages.macys.com/is/image/MCY/8931970 </v>
      </c>
    </row>
    <row r="8" spans="1:12" ht="30" customHeight="1" x14ac:dyDescent="0.25">
      <c r="A8" s="5" t="s">
        <v>3467</v>
      </c>
      <c r="B8" s="2" t="s">
        <v>3468</v>
      </c>
      <c r="C8" s="3">
        <v>1</v>
      </c>
      <c r="D8" s="6">
        <v>158.99</v>
      </c>
      <c r="E8" s="3" t="s">
        <v>3469</v>
      </c>
      <c r="F8" s="2" t="s">
        <v>2517</v>
      </c>
      <c r="G8" s="7"/>
      <c r="H8" s="2" t="s">
        <v>2359</v>
      </c>
      <c r="I8" s="2" t="s">
        <v>3470</v>
      </c>
      <c r="J8" s="2" t="s">
        <v>2361</v>
      </c>
      <c r="K8" s="2" t="s">
        <v>3471</v>
      </c>
      <c r="L8" s="8" t="str">
        <f>HYPERLINK("http://slimages.macys.com/is/image/MCY/14892027 ")</f>
        <v xml:space="preserve">http://slimages.macys.com/is/image/MCY/14892027 </v>
      </c>
    </row>
    <row r="9" spans="1:12" ht="30" customHeight="1" x14ac:dyDescent="0.25">
      <c r="A9" s="5" t="s">
        <v>3472</v>
      </c>
      <c r="B9" s="2" t="s">
        <v>3473</v>
      </c>
      <c r="C9" s="3">
        <v>1</v>
      </c>
      <c r="D9" s="6">
        <v>95.99</v>
      </c>
      <c r="E9" s="3" t="s">
        <v>3474</v>
      </c>
      <c r="F9" s="2" t="s">
        <v>2394</v>
      </c>
      <c r="G9" s="7"/>
      <c r="H9" s="2" t="s">
        <v>2419</v>
      </c>
      <c r="I9" s="2" t="s">
        <v>2406</v>
      </c>
      <c r="J9" s="2" t="s">
        <v>2361</v>
      </c>
      <c r="K9" s="2" t="s">
        <v>3475</v>
      </c>
      <c r="L9" s="8" t="str">
        <f>HYPERLINK("http://slimages.macys.com/is/image/MCY/9798710 ")</f>
        <v xml:space="preserve">http://slimages.macys.com/is/image/MCY/9798710 </v>
      </c>
    </row>
    <row r="10" spans="1:12" ht="30" customHeight="1" x14ac:dyDescent="0.25">
      <c r="A10" s="5" t="s">
        <v>3476</v>
      </c>
      <c r="B10" s="2" t="s">
        <v>3477</v>
      </c>
      <c r="C10" s="3">
        <v>1</v>
      </c>
      <c r="D10" s="6">
        <v>99.99</v>
      </c>
      <c r="E10" s="3">
        <v>600656447001</v>
      </c>
      <c r="F10" s="2" t="s">
        <v>2394</v>
      </c>
      <c r="G10" s="7" t="s">
        <v>3039</v>
      </c>
      <c r="H10" s="2" t="s">
        <v>3478</v>
      </c>
      <c r="I10" s="2" t="s">
        <v>3479</v>
      </c>
      <c r="J10" s="2" t="s">
        <v>2467</v>
      </c>
      <c r="K10" s="2"/>
      <c r="L10" s="8" t="str">
        <f>HYPERLINK("http://slimages.macys.com/is/image/MCY/8576356 ")</f>
        <v xml:space="preserve">http://slimages.macys.com/is/image/MCY/8576356 </v>
      </c>
    </row>
    <row r="11" spans="1:12" ht="30" customHeight="1" x14ac:dyDescent="0.25">
      <c r="A11" s="5" t="s">
        <v>3480</v>
      </c>
      <c r="B11" s="2" t="s">
        <v>3481</v>
      </c>
      <c r="C11" s="3">
        <v>1</v>
      </c>
      <c r="D11" s="6">
        <v>99.99</v>
      </c>
      <c r="E11" s="3">
        <v>600652672001</v>
      </c>
      <c r="F11" s="2" t="s">
        <v>2374</v>
      </c>
      <c r="G11" s="7" t="s">
        <v>3039</v>
      </c>
      <c r="H11" s="2" t="s">
        <v>3478</v>
      </c>
      <c r="I11" s="2" t="s">
        <v>3479</v>
      </c>
      <c r="J11" s="2" t="s">
        <v>2361</v>
      </c>
      <c r="K11" s="2" t="s">
        <v>2397</v>
      </c>
      <c r="L11" s="8" t="str">
        <f>HYPERLINK("http://slimages.macys.com/is/image/MCY/8576360 ")</f>
        <v xml:space="preserve">http://slimages.macys.com/is/image/MCY/8576360 </v>
      </c>
    </row>
    <row r="12" spans="1:12" ht="30" customHeight="1" x14ac:dyDescent="0.25">
      <c r="A12" s="5" t="s">
        <v>3482</v>
      </c>
      <c r="B12" s="2" t="s">
        <v>3483</v>
      </c>
      <c r="C12" s="3">
        <v>1</v>
      </c>
      <c r="D12" s="6">
        <v>119.99</v>
      </c>
      <c r="E12" s="3" t="s">
        <v>3484</v>
      </c>
      <c r="F12" s="2" t="s">
        <v>3485</v>
      </c>
      <c r="G12" s="7"/>
      <c r="H12" s="2" t="s">
        <v>2675</v>
      </c>
      <c r="I12" s="2" t="s">
        <v>2676</v>
      </c>
      <c r="J12" s="2" t="s">
        <v>2361</v>
      </c>
      <c r="K12" s="2" t="s">
        <v>3486</v>
      </c>
      <c r="L12" s="8" t="str">
        <f>HYPERLINK("http://slimages.macys.com/is/image/MCY/8489718 ")</f>
        <v xml:space="preserve">http://slimages.macys.com/is/image/MCY/8489718 </v>
      </c>
    </row>
    <row r="13" spans="1:12" ht="30" customHeight="1" x14ac:dyDescent="0.25">
      <c r="A13" s="5" t="s">
        <v>3487</v>
      </c>
      <c r="B13" s="2" t="s">
        <v>3488</v>
      </c>
      <c r="C13" s="3">
        <v>1</v>
      </c>
      <c r="D13" s="6">
        <v>109.99</v>
      </c>
      <c r="E13" s="3" t="s">
        <v>3489</v>
      </c>
      <c r="F13" s="2" t="s">
        <v>2381</v>
      </c>
      <c r="G13" s="7"/>
      <c r="H13" s="2" t="s">
        <v>2359</v>
      </c>
      <c r="I13" s="2" t="s">
        <v>2406</v>
      </c>
      <c r="J13" s="2" t="s">
        <v>2361</v>
      </c>
      <c r="K13" s="2" t="s">
        <v>3490</v>
      </c>
      <c r="L13" s="8" t="str">
        <f>HYPERLINK("http://slimages.macys.com/is/image/MCY/9798730 ")</f>
        <v xml:space="preserve">http://slimages.macys.com/is/image/MCY/9798730 </v>
      </c>
    </row>
    <row r="14" spans="1:12" ht="30" customHeight="1" x14ac:dyDescent="0.25">
      <c r="A14" s="5" t="s">
        <v>3491</v>
      </c>
      <c r="B14" s="2" t="s">
        <v>3492</v>
      </c>
      <c r="C14" s="3">
        <v>1</v>
      </c>
      <c r="D14" s="6">
        <v>119.99</v>
      </c>
      <c r="E14" s="3" t="s">
        <v>3493</v>
      </c>
      <c r="F14" s="2" t="s">
        <v>2605</v>
      </c>
      <c r="G14" s="7"/>
      <c r="H14" s="2" t="s">
        <v>2359</v>
      </c>
      <c r="I14" s="2" t="s">
        <v>2406</v>
      </c>
      <c r="J14" s="2" t="s">
        <v>2361</v>
      </c>
      <c r="K14" s="2" t="s">
        <v>3494</v>
      </c>
      <c r="L14" s="8" t="str">
        <f>HYPERLINK("http://slimages.macys.com/is/image/MCY/9627957 ")</f>
        <v xml:space="preserve">http://slimages.macys.com/is/image/MCY/9627957 </v>
      </c>
    </row>
    <row r="15" spans="1:12" ht="30" customHeight="1" x14ac:dyDescent="0.25">
      <c r="A15" s="5" t="s">
        <v>3495</v>
      </c>
      <c r="B15" s="2" t="s">
        <v>3496</v>
      </c>
      <c r="C15" s="3">
        <v>1</v>
      </c>
      <c r="D15" s="6">
        <v>74.989999999999995</v>
      </c>
      <c r="E15" s="3" t="s">
        <v>3497</v>
      </c>
      <c r="F15" s="2" t="s">
        <v>2374</v>
      </c>
      <c r="G15" s="7"/>
      <c r="H15" s="2" t="s">
        <v>2419</v>
      </c>
      <c r="I15" s="2" t="s">
        <v>2406</v>
      </c>
      <c r="J15" s="2" t="s">
        <v>2361</v>
      </c>
      <c r="K15" s="2" t="s">
        <v>3498</v>
      </c>
      <c r="L15" s="8" t="str">
        <f>HYPERLINK("http://slimages.macys.com/is/image/MCY/11112750 ")</f>
        <v xml:space="preserve">http://slimages.macys.com/is/image/MCY/11112750 </v>
      </c>
    </row>
    <row r="16" spans="1:12" ht="30" customHeight="1" x14ac:dyDescent="0.25">
      <c r="A16" s="5" t="s">
        <v>3499</v>
      </c>
      <c r="B16" s="2" t="s">
        <v>3500</v>
      </c>
      <c r="C16" s="3">
        <v>1</v>
      </c>
      <c r="D16" s="6">
        <v>124.99</v>
      </c>
      <c r="E16" s="3" t="s">
        <v>3501</v>
      </c>
      <c r="F16" s="2" t="s">
        <v>2381</v>
      </c>
      <c r="G16" s="7"/>
      <c r="H16" s="2" t="s">
        <v>2359</v>
      </c>
      <c r="I16" s="2" t="s">
        <v>2406</v>
      </c>
      <c r="J16" s="2" t="s">
        <v>2361</v>
      </c>
      <c r="K16" s="2" t="s">
        <v>2656</v>
      </c>
      <c r="L16" s="8" t="str">
        <f>HYPERLINK("http://slimages.macys.com/is/image/MCY/11825479 ")</f>
        <v xml:space="preserve">http://slimages.macys.com/is/image/MCY/11825479 </v>
      </c>
    </row>
    <row r="17" spans="1:12" ht="30" customHeight="1" x14ac:dyDescent="0.25">
      <c r="A17" s="5" t="s">
        <v>2769</v>
      </c>
      <c r="B17" s="2" t="s">
        <v>3502</v>
      </c>
      <c r="C17" s="3">
        <v>1</v>
      </c>
      <c r="D17" s="6">
        <v>89.99</v>
      </c>
      <c r="E17" s="3" t="s">
        <v>2771</v>
      </c>
      <c r="F17" s="2" t="s">
        <v>2440</v>
      </c>
      <c r="G17" s="7"/>
      <c r="H17" s="2" t="s">
        <v>2359</v>
      </c>
      <c r="I17" s="2" t="s">
        <v>2406</v>
      </c>
      <c r="J17" s="2" t="s">
        <v>2361</v>
      </c>
      <c r="K17" s="2" t="s">
        <v>2772</v>
      </c>
      <c r="L17" s="8" t="str">
        <f>HYPERLINK("http://slimages.macys.com/is/image/MCY/9484110 ")</f>
        <v xml:space="preserve">http://slimages.macys.com/is/image/MCY/9484110 </v>
      </c>
    </row>
    <row r="18" spans="1:12" ht="30" customHeight="1" x14ac:dyDescent="0.25">
      <c r="A18" s="5" t="s">
        <v>3503</v>
      </c>
      <c r="B18" s="2" t="s">
        <v>3504</v>
      </c>
      <c r="C18" s="3">
        <v>1</v>
      </c>
      <c r="D18" s="6">
        <v>79.989999999999995</v>
      </c>
      <c r="E18" s="3" t="s">
        <v>3505</v>
      </c>
      <c r="F18" s="2" t="s">
        <v>2622</v>
      </c>
      <c r="G18" s="7"/>
      <c r="H18" s="2" t="s">
        <v>2359</v>
      </c>
      <c r="I18" s="2" t="s">
        <v>2406</v>
      </c>
      <c r="J18" s="2" t="s">
        <v>2361</v>
      </c>
      <c r="K18" s="2" t="s">
        <v>3506</v>
      </c>
      <c r="L18" s="8" t="str">
        <f>HYPERLINK("http://slimages.macys.com/is/image/MCY/9433659 ")</f>
        <v xml:space="preserve">http://slimages.macys.com/is/image/MCY/9433659 </v>
      </c>
    </row>
    <row r="19" spans="1:12" ht="30" customHeight="1" x14ac:dyDescent="0.25">
      <c r="A19" s="5" t="s">
        <v>3507</v>
      </c>
      <c r="B19" s="2" t="s">
        <v>3508</v>
      </c>
      <c r="C19" s="3">
        <v>1</v>
      </c>
      <c r="D19" s="6">
        <v>66.989999999999995</v>
      </c>
      <c r="E19" s="3" t="s">
        <v>3509</v>
      </c>
      <c r="F19" s="2" t="s">
        <v>2358</v>
      </c>
      <c r="G19" s="7"/>
      <c r="H19" s="2" t="s">
        <v>2359</v>
      </c>
      <c r="I19" s="2" t="s">
        <v>3510</v>
      </c>
      <c r="J19" s="2" t="s">
        <v>2361</v>
      </c>
      <c r="K19" s="2" t="s">
        <v>3511</v>
      </c>
      <c r="L19" s="8" t="str">
        <f>HYPERLINK("http://slimages.macys.com/is/image/MCY/14540134 ")</f>
        <v xml:space="preserve">http://slimages.macys.com/is/image/MCY/14540134 </v>
      </c>
    </row>
    <row r="20" spans="1:12" ht="30" customHeight="1" x14ac:dyDescent="0.25">
      <c r="A20" s="5" t="s">
        <v>2449</v>
      </c>
      <c r="B20" s="2" t="s">
        <v>3512</v>
      </c>
      <c r="C20" s="3">
        <v>1</v>
      </c>
      <c r="D20" s="6">
        <v>69.989999999999995</v>
      </c>
      <c r="E20" s="3" t="s">
        <v>2451</v>
      </c>
      <c r="F20" s="2" t="s">
        <v>2440</v>
      </c>
      <c r="G20" s="7"/>
      <c r="H20" s="2" t="s">
        <v>2359</v>
      </c>
      <c r="I20" s="2" t="s">
        <v>2406</v>
      </c>
      <c r="J20" s="2" t="s">
        <v>2361</v>
      </c>
      <c r="K20" s="2" t="s">
        <v>2452</v>
      </c>
      <c r="L20" s="8" t="str">
        <f>HYPERLINK("http://slimages.macys.com/is/image/MCY/9433664 ")</f>
        <v xml:space="preserve">http://slimages.macys.com/is/image/MCY/9433664 </v>
      </c>
    </row>
    <row r="21" spans="1:12" ht="30" customHeight="1" x14ac:dyDescent="0.25">
      <c r="A21" s="5" t="s">
        <v>3513</v>
      </c>
      <c r="B21" s="2" t="s">
        <v>3514</v>
      </c>
      <c r="C21" s="3">
        <v>1</v>
      </c>
      <c r="D21" s="6">
        <v>69.989999999999995</v>
      </c>
      <c r="E21" s="3" t="s">
        <v>3515</v>
      </c>
      <c r="F21" s="2"/>
      <c r="G21" s="7"/>
      <c r="H21" s="2" t="s">
        <v>2359</v>
      </c>
      <c r="I21" s="2" t="s">
        <v>2406</v>
      </c>
      <c r="J21" s="2" t="s">
        <v>2361</v>
      </c>
      <c r="K21" s="2" t="s">
        <v>3516</v>
      </c>
      <c r="L21" s="8" t="str">
        <f>HYPERLINK("http://slimages.macys.com/is/image/MCY/9492561 ")</f>
        <v xml:space="preserve">http://slimages.macys.com/is/image/MCY/9492561 </v>
      </c>
    </row>
    <row r="22" spans="1:12" ht="30" customHeight="1" x14ac:dyDescent="0.25">
      <c r="A22" s="5" t="s">
        <v>3517</v>
      </c>
      <c r="B22" s="2" t="s">
        <v>3518</v>
      </c>
      <c r="C22" s="3">
        <v>1</v>
      </c>
      <c r="D22" s="6">
        <v>64.989999999999995</v>
      </c>
      <c r="E22" s="3" t="s">
        <v>3519</v>
      </c>
      <c r="F22" s="2" t="s">
        <v>2401</v>
      </c>
      <c r="G22" s="7"/>
      <c r="H22" s="2" t="s">
        <v>2359</v>
      </c>
      <c r="I22" s="2" t="s">
        <v>2406</v>
      </c>
      <c r="J22" s="2" t="s">
        <v>2361</v>
      </c>
      <c r="K22" s="2" t="s">
        <v>3520</v>
      </c>
      <c r="L22" s="8" t="str">
        <f>HYPERLINK("http://slimages.macys.com/is/image/MCY/9484911 ")</f>
        <v xml:space="preserve">http://slimages.macys.com/is/image/MCY/9484911 </v>
      </c>
    </row>
    <row r="23" spans="1:12" ht="30" customHeight="1" x14ac:dyDescent="0.25">
      <c r="A23" s="5" t="s">
        <v>3521</v>
      </c>
      <c r="B23" s="2" t="s">
        <v>3522</v>
      </c>
      <c r="C23" s="3">
        <v>1</v>
      </c>
      <c r="D23" s="6">
        <v>42.99</v>
      </c>
      <c r="E23" s="3" t="s">
        <v>3523</v>
      </c>
      <c r="F23" s="2" t="s">
        <v>2374</v>
      </c>
      <c r="G23" s="7"/>
      <c r="H23" s="2" t="s">
        <v>2419</v>
      </c>
      <c r="I23" s="2" t="s">
        <v>2406</v>
      </c>
      <c r="J23" s="2" t="s">
        <v>2361</v>
      </c>
      <c r="K23" s="2"/>
      <c r="L23" s="8" t="str">
        <f>HYPERLINK("http://slimages.macys.com/is/image/MCY/9912812 ")</f>
        <v xml:space="preserve">http://slimages.macys.com/is/image/MCY/9912812 </v>
      </c>
    </row>
    <row r="24" spans="1:12" ht="30" customHeight="1" x14ac:dyDescent="0.25">
      <c r="A24" s="5" t="s">
        <v>3524</v>
      </c>
      <c r="B24" s="2" t="s">
        <v>3525</v>
      </c>
      <c r="C24" s="3">
        <v>2</v>
      </c>
      <c r="D24" s="6">
        <v>65.989999999999995</v>
      </c>
      <c r="E24" s="3" t="s">
        <v>3526</v>
      </c>
      <c r="F24" s="2" t="s">
        <v>2394</v>
      </c>
      <c r="G24" s="7"/>
      <c r="H24" s="2" t="s">
        <v>2419</v>
      </c>
      <c r="I24" s="2" t="s">
        <v>2632</v>
      </c>
      <c r="J24" s="2" t="s">
        <v>2361</v>
      </c>
      <c r="K24" s="2" t="s">
        <v>2656</v>
      </c>
      <c r="L24" s="8" t="str">
        <f>HYPERLINK("http://slimages.macys.com/is/image/MCY/11542999 ")</f>
        <v xml:space="preserve">http://slimages.macys.com/is/image/MCY/11542999 </v>
      </c>
    </row>
    <row r="25" spans="1:12" ht="30" customHeight="1" x14ac:dyDescent="0.25">
      <c r="A25" s="5" t="s">
        <v>3527</v>
      </c>
      <c r="B25" s="2" t="s">
        <v>3528</v>
      </c>
      <c r="C25" s="3">
        <v>1</v>
      </c>
      <c r="D25" s="6">
        <v>55.99</v>
      </c>
      <c r="E25" s="3" t="s">
        <v>3529</v>
      </c>
      <c r="F25" s="2" t="s">
        <v>2622</v>
      </c>
      <c r="G25" s="7"/>
      <c r="H25" s="2" t="s">
        <v>2359</v>
      </c>
      <c r="I25" s="2" t="s">
        <v>2803</v>
      </c>
      <c r="J25" s="2" t="s">
        <v>2361</v>
      </c>
      <c r="K25" s="2" t="s">
        <v>2804</v>
      </c>
      <c r="L25" s="8" t="str">
        <f>HYPERLINK("http://slimages.macys.com/is/image/MCY/11865585 ")</f>
        <v xml:space="preserve">http://slimages.macys.com/is/image/MCY/11865585 </v>
      </c>
    </row>
    <row r="26" spans="1:12" ht="30" customHeight="1" x14ac:dyDescent="0.25">
      <c r="A26" s="5" t="s">
        <v>3530</v>
      </c>
      <c r="B26" s="2" t="s">
        <v>3531</v>
      </c>
      <c r="C26" s="3">
        <v>1</v>
      </c>
      <c r="D26" s="6">
        <v>58.99</v>
      </c>
      <c r="E26" s="3" t="s">
        <v>3532</v>
      </c>
      <c r="F26" s="2" t="s">
        <v>3038</v>
      </c>
      <c r="G26" s="7"/>
      <c r="H26" s="2" t="s">
        <v>2359</v>
      </c>
      <c r="I26" s="2" t="s">
        <v>3533</v>
      </c>
      <c r="J26" s="2" t="s">
        <v>2361</v>
      </c>
      <c r="K26" s="2" t="s">
        <v>2377</v>
      </c>
      <c r="L26" s="8" t="str">
        <f>HYPERLINK("http://slimages.macys.com/is/image/MCY/15941069 ")</f>
        <v xml:space="preserve">http://slimages.macys.com/is/image/MCY/15941069 </v>
      </c>
    </row>
    <row r="27" spans="1:12" ht="30" customHeight="1" x14ac:dyDescent="0.25">
      <c r="A27" s="5" t="s">
        <v>3534</v>
      </c>
      <c r="B27" s="2" t="s">
        <v>3535</v>
      </c>
      <c r="C27" s="3">
        <v>2</v>
      </c>
      <c r="D27" s="6">
        <v>37.99</v>
      </c>
      <c r="E27" s="3">
        <v>67875</v>
      </c>
      <c r="F27" s="2" t="s">
        <v>3536</v>
      </c>
      <c r="G27" s="7"/>
      <c r="H27" s="2" t="s">
        <v>2419</v>
      </c>
      <c r="I27" s="2" t="s">
        <v>2798</v>
      </c>
      <c r="J27" s="2" t="s">
        <v>2361</v>
      </c>
      <c r="K27" s="2" t="s">
        <v>2377</v>
      </c>
      <c r="L27" s="8" t="str">
        <f>HYPERLINK("http://slimages.macys.com/is/image/MCY/9170126 ")</f>
        <v xml:space="preserve">http://slimages.macys.com/is/image/MCY/9170126 </v>
      </c>
    </row>
    <row r="28" spans="1:12" ht="30" customHeight="1" x14ac:dyDescent="0.25">
      <c r="A28" s="5" t="s">
        <v>3537</v>
      </c>
      <c r="B28" s="2" t="s">
        <v>3538</v>
      </c>
      <c r="C28" s="3">
        <v>2</v>
      </c>
      <c r="D28" s="6">
        <v>47.99</v>
      </c>
      <c r="E28" s="3" t="s">
        <v>3539</v>
      </c>
      <c r="F28" s="2" t="s">
        <v>2517</v>
      </c>
      <c r="G28" s="7"/>
      <c r="H28" s="2" t="s">
        <v>2419</v>
      </c>
      <c r="I28" s="2" t="s">
        <v>3540</v>
      </c>
      <c r="J28" s="2" t="s">
        <v>2361</v>
      </c>
      <c r="K28" s="2" t="s">
        <v>2397</v>
      </c>
      <c r="L28" s="8" t="str">
        <f>HYPERLINK("http://slimages.macys.com/is/image/MCY/11630446 ")</f>
        <v xml:space="preserve">http://slimages.macys.com/is/image/MCY/11630446 </v>
      </c>
    </row>
    <row r="29" spans="1:12" ht="30" customHeight="1" x14ac:dyDescent="0.25">
      <c r="A29" s="5" t="s">
        <v>3541</v>
      </c>
      <c r="B29" s="2" t="s">
        <v>3542</v>
      </c>
      <c r="C29" s="3">
        <v>1</v>
      </c>
      <c r="D29" s="6">
        <v>89.99</v>
      </c>
      <c r="E29" s="3">
        <v>10004031900</v>
      </c>
      <c r="F29" s="2" t="s">
        <v>2418</v>
      </c>
      <c r="G29" s="7" t="s">
        <v>2518</v>
      </c>
      <c r="H29" s="2" t="s">
        <v>2388</v>
      </c>
      <c r="I29" s="2" t="s">
        <v>3217</v>
      </c>
      <c r="J29" s="2" t="s">
        <v>2432</v>
      </c>
      <c r="K29" s="2" t="s">
        <v>3543</v>
      </c>
      <c r="L29" s="8" t="str">
        <f>HYPERLINK("http://slimages.macys.com/is/image/MCY/10889477 ")</f>
        <v xml:space="preserve">http://slimages.macys.com/is/image/MCY/10889477 </v>
      </c>
    </row>
    <row r="30" spans="1:12" ht="30" customHeight="1" x14ac:dyDescent="0.25">
      <c r="A30" s="5" t="s">
        <v>3544</v>
      </c>
      <c r="B30" s="2" t="s">
        <v>3545</v>
      </c>
      <c r="C30" s="3">
        <v>4</v>
      </c>
      <c r="D30" s="6">
        <v>34.99</v>
      </c>
      <c r="E30" s="3" t="s">
        <v>3546</v>
      </c>
      <c r="F30" s="2" t="s">
        <v>3547</v>
      </c>
      <c r="G30" s="7"/>
      <c r="H30" s="2" t="s">
        <v>2419</v>
      </c>
      <c r="I30" s="2" t="s">
        <v>2406</v>
      </c>
      <c r="J30" s="2" t="s">
        <v>2361</v>
      </c>
      <c r="K30" s="2" t="s">
        <v>2377</v>
      </c>
      <c r="L30" s="8" t="str">
        <f>HYPERLINK("http://slimages.macys.com/is/image/MCY/9310270 ")</f>
        <v xml:space="preserve">http://slimages.macys.com/is/image/MCY/9310270 </v>
      </c>
    </row>
    <row r="31" spans="1:12" ht="30" customHeight="1" x14ac:dyDescent="0.25">
      <c r="A31" s="5" t="s">
        <v>3548</v>
      </c>
      <c r="B31" s="2" t="s">
        <v>1055</v>
      </c>
      <c r="C31" s="3">
        <v>2</v>
      </c>
      <c r="D31" s="6">
        <v>34.99</v>
      </c>
      <c r="E31" s="3" t="s">
        <v>1056</v>
      </c>
      <c r="F31" s="2" t="s">
        <v>3024</v>
      </c>
      <c r="G31" s="7"/>
      <c r="H31" s="2" t="s">
        <v>2419</v>
      </c>
      <c r="I31" s="2" t="s">
        <v>2406</v>
      </c>
      <c r="J31" s="2" t="s">
        <v>2361</v>
      </c>
      <c r="K31" s="2" t="s">
        <v>2484</v>
      </c>
      <c r="L31" s="8" t="str">
        <f>HYPERLINK("http://slimages.macys.com/is/image/MCY/8810083 ")</f>
        <v xml:space="preserve">http://slimages.macys.com/is/image/MCY/8810083 </v>
      </c>
    </row>
    <row r="32" spans="1:12" ht="30" customHeight="1" x14ac:dyDescent="0.25">
      <c r="A32" s="5" t="s">
        <v>1057</v>
      </c>
      <c r="B32" s="2" t="s">
        <v>1058</v>
      </c>
      <c r="C32" s="3">
        <v>4</v>
      </c>
      <c r="D32" s="6">
        <v>33.99</v>
      </c>
      <c r="E32" s="3" t="s">
        <v>1059</v>
      </c>
      <c r="F32" s="2" t="s">
        <v>2394</v>
      </c>
      <c r="G32" s="7"/>
      <c r="H32" s="2" t="s">
        <v>2419</v>
      </c>
      <c r="I32" s="2" t="s">
        <v>1060</v>
      </c>
      <c r="J32" s="2" t="s">
        <v>2361</v>
      </c>
      <c r="K32" s="2" t="s">
        <v>1061</v>
      </c>
      <c r="L32" s="8" t="str">
        <f>HYPERLINK("http://slimages.macys.com/is/image/MCY/13534504 ")</f>
        <v xml:space="preserve">http://slimages.macys.com/is/image/MCY/13534504 </v>
      </c>
    </row>
    <row r="33" spans="1:12" ht="30" customHeight="1" x14ac:dyDescent="0.25">
      <c r="A33" s="5" t="s">
        <v>1062</v>
      </c>
      <c r="B33" s="2" t="s">
        <v>1063</v>
      </c>
      <c r="C33" s="3">
        <v>1</v>
      </c>
      <c r="D33" s="6">
        <v>26.99</v>
      </c>
      <c r="E33" s="3" t="s">
        <v>1064</v>
      </c>
      <c r="F33" s="2" t="s">
        <v>2374</v>
      </c>
      <c r="G33" s="7"/>
      <c r="H33" s="2" t="s">
        <v>2412</v>
      </c>
      <c r="I33" s="2" t="s">
        <v>2383</v>
      </c>
      <c r="J33" s="2" t="s">
        <v>2361</v>
      </c>
      <c r="K33" s="2" t="s">
        <v>1061</v>
      </c>
      <c r="L33" s="8" t="str">
        <f>HYPERLINK("http://slimages.macys.com/is/image/MCY/13533544 ")</f>
        <v xml:space="preserve">http://slimages.macys.com/is/image/MCY/13533544 </v>
      </c>
    </row>
    <row r="34" spans="1:12" ht="30" customHeight="1" x14ac:dyDescent="0.25">
      <c r="A34" s="5" t="s">
        <v>3072</v>
      </c>
      <c r="B34" s="2" t="s">
        <v>1065</v>
      </c>
      <c r="C34" s="3">
        <v>1</v>
      </c>
      <c r="D34" s="6">
        <v>29.99</v>
      </c>
      <c r="E34" s="3" t="s">
        <v>3074</v>
      </c>
      <c r="F34" s="2" t="s">
        <v>2401</v>
      </c>
      <c r="G34" s="7"/>
      <c r="H34" s="2" t="s">
        <v>2459</v>
      </c>
      <c r="I34" s="2" t="s">
        <v>2406</v>
      </c>
      <c r="J34" s="2" t="s">
        <v>2361</v>
      </c>
      <c r="K34" s="2" t="s">
        <v>3075</v>
      </c>
      <c r="L34" s="8" t="str">
        <f>HYPERLINK("http://slimages.macys.com/is/image/MCY/10044237 ")</f>
        <v xml:space="preserve">http://slimages.macys.com/is/image/MCY/10044237 </v>
      </c>
    </row>
    <row r="35" spans="1:12" ht="30" customHeight="1" x14ac:dyDescent="0.25">
      <c r="A35" s="5" t="s">
        <v>2870</v>
      </c>
      <c r="B35" s="2" t="s">
        <v>1066</v>
      </c>
      <c r="C35" s="3">
        <v>7</v>
      </c>
      <c r="D35" s="6">
        <v>24.99</v>
      </c>
      <c r="E35" s="3" t="s">
        <v>2872</v>
      </c>
      <c r="F35" s="2" t="s">
        <v>2381</v>
      </c>
      <c r="G35" s="7"/>
      <c r="H35" s="2" t="s">
        <v>2419</v>
      </c>
      <c r="I35" s="2" t="s">
        <v>2406</v>
      </c>
      <c r="J35" s="2" t="s">
        <v>2361</v>
      </c>
      <c r="K35" s="2"/>
      <c r="L35" s="8" t="str">
        <f>HYPERLINK("http://slimages.macys.com/is/image/MCY/10010840 ")</f>
        <v xml:space="preserve">http://slimages.macys.com/is/image/MCY/10010840 </v>
      </c>
    </row>
    <row r="36" spans="1:12" ht="30" customHeight="1" x14ac:dyDescent="0.25">
      <c r="A36" s="5" t="s">
        <v>1067</v>
      </c>
      <c r="B36" s="2" t="s">
        <v>1068</v>
      </c>
      <c r="C36" s="3">
        <v>1</v>
      </c>
      <c r="D36" s="6">
        <v>24.99</v>
      </c>
      <c r="E36" s="3">
        <v>65712</v>
      </c>
      <c r="F36" s="2" t="s">
        <v>2374</v>
      </c>
      <c r="G36" s="7"/>
      <c r="H36" s="2" t="s">
        <v>2412</v>
      </c>
      <c r="I36" s="2" t="s">
        <v>3133</v>
      </c>
      <c r="J36" s="2" t="s">
        <v>2361</v>
      </c>
      <c r="K36" s="2" t="s">
        <v>3486</v>
      </c>
      <c r="L36" s="8" t="str">
        <f>HYPERLINK("http://slimages.macys.com/is/image/MCY/14371054 ")</f>
        <v xml:space="preserve">http://slimages.macys.com/is/image/MCY/14371054 </v>
      </c>
    </row>
    <row r="37" spans="1:12" ht="30" customHeight="1" x14ac:dyDescent="0.25">
      <c r="A37" s="5" t="s">
        <v>1069</v>
      </c>
      <c r="B37" s="2" t="s">
        <v>1070</v>
      </c>
      <c r="C37" s="3">
        <v>4</v>
      </c>
      <c r="D37" s="6">
        <v>19.989999999999998</v>
      </c>
      <c r="E37" s="3">
        <v>46583</v>
      </c>
      <c r="F37" s="2" t="s">
        <v>2640</v>
      </c>
      <c r="G37" s="7"/>
      <c r="H37" s="2" t="s">
        <v>2419</v>
      </c>
      <c r="I37" s="2" t="s">
        <v>2697</v>
      </c>
      <c r="J37" s="2" t="s">
        <v>2361</v>
      </c>
      <c r="K37" s="2" t="s">
        <v>2377</v>
      </c>
      <c r="L37" s="8" t="str">
        <f>HYPERLINK("http://slimages.macys.com/is/image/MCY/10008445 ")</f>
        <v xml:space="preserve">http://slimages.macys.com/is/image/MCY/10008445 </v>
      </c>
    </row>
    <row r="38" spans="1:12" ht="30" customHeight="1" x14ac:dyDescent="0.25">
      <c r="A38" s="5" t="s">
        <v>1071</v>
      </c>
      <c r="B38" s="2" t="s">
        <v>1072</v>
      </c>
      <c r="C38" s="3">
        <v>1</v>
      </c>
      <c r="D38" s="6">
        <v>15.99</v>
      </c>
      <c r="E38" s="3">
        <v>47408</v>
      </c>
      <c r="F38" s="2" t="s">
        <v>2530</v>
      </c>
      <c r="G38" s="7"/>
      <c r="H38" s="2" t="s">
        <v>2419</v>
      </c>
      <c r="I38" s="2" t="s">
        <v>2697</v>
      </c>
      <c r="J38" s="2" t="s">
        <v>2361</v>
      </c>
      <c r="K38" s="2"/>
      <c r="L38" s="8" t="str">
        <f>HYPERLINK("http://slimages.macys.com/is/image/MCY/10006589 ")</f>
        <v xml:space="preserve">http://slimages.macys.com/is/image/MCY/10006589 </v>
      </c>
    </row>
    <row r="39" spans="1:12" ht="30" customHeight="1" x14ac:dyDescent="0.25">
      <c r="A39" s="5" t="s">
        <v>3111</v>
      </c>
      <c r="B39" s="2" t="s">
        <v>1073</v>
      </c>
      <c r="C39" s="3">
        <v>1</v>
      </c>
      <c r="D39" s="6">
        <v>19.989999999999998</v>
      </c>
      <c r="E39" s="3" t="s">
        <v>3113</v>
      </c>
      <c r="F39" s="2" t="s">
        <v>2401</v>
      </c>
      <c r="G39" s="7"/>
      <c r="H39" s="2" t="s">
        <v>2459</v>
      </c>
      <c r="I39" s="2" t="s">
        <v>2406</v>
      </c>
      <c r="J39" s="2" t="s">
        <v>2361</v>
      </c>
      <c r="K39" s="2" t="s">
        <v>3075</v>
      </c>
      <c r="L39" s="8" t="str">
        <f>HYPERLINK("http://slimages.macys.com/is/image/MCY/10044225 ")</f>
        <v xml:space="preserve">http://slimages.macys.com/is/image/MCY/10044225 </v>
      </c>
    </row>
    <row r="40" spans="1:12" ht="30" customHeight="1" x14ac:dyDescent="0.25">
      <c r="A40" s="5" t="s">
        <v>1074</v>
      </c>
      <c r="B40" s="2" t="s">
        <v>1075</v>
      </c>
      <c r="C40" s="3">
        <v>1</v>
      </c>
      <c r="D40" s="6">
        <v>78.11</v>
      </c>
      <c r="E40" s="3" t="s">
        <v>1076</v>
      </c>
      <c r="F40" s="2" t="s">
        <v>2374</v>
      </c>
      <c r="G40" s="7" t="s">
        <v>2546</v>
      </c>
      <c r="H40" s="2" t="s">
        <v>2446</v>
      </c>
      <c r="I40" s="2" t="s">
        <v>2547</v>
      </c>
      <c r="J40" s="2" t="s">
        <v>2361</v>
      </c>
      <c r="K40" s="2" t="s">
        <v>2397</v>
      </c>
      <c r="L40" s="8" t="str">
        <f>HYPERLINK("http://slimages.macys.com/is/image/MCY/481228 ")</f>
        <v xml:space="preserve">http://slimages.macys.com/is/image/MCY/481228 </v>
      </c>
    </row>
    <row r="41" spans="1:12" ht="30" customHeight="1" x14ac:dyDescent="0.25">
      <c r="A41" s="5" t="s">
        <v>1077</v>
      </c>
      <c r="B41" s="2" t="s">
        <v>1078</v>
      </c>
      <c r="C41" s="3">
        <v>3</v>
      </c>
      <c r="D41" s="6">
        <v>14.99</v>
      </c>
      <c r="E41" s="3" t="s">
        <v>1079</v>
      </c>
      <c r="F41" s="2"/>
      <c r="G41" s="7"/>
      <c r="H41" s="2" t="s">
        <v>2359</v>
      </c>
      <c r="I41" s="2" t="s">
        <v>2727</v>
      </c>
      <c r="J41" s="2" t="s">
        <v>2361</v>
      </c>
      <c r="K41" s="2" t="s">
        <v>1080</v>
      </c>
      <c r="L41" s="8" t="str">
        <f>HYPERLINK("http://slimages.macys.com/is/image/MCY/16140169 ")</f>
        <v xml:space="preserve">http://slimages.macys.com/is/image/MCY/16140169 </v>
      </c>
    </row>
    <row r="42" spans="1:12" ht="30" customHeight="1" x14ac:dyDescent="0.25">
      <c r="A42" s="5" t="s">
        <v>1081</v>
      </c>
      <c r="B42" s="2" t="s">
        <v>1082</v>
      </c>
      <c r="C42" s="3">
        <v>3</v>
      </c>
      <c r="D42" s="6">
        <v>14.99</v>
      </c>
      <c r="E42" s="3" t="s">
        <v>1083</v>
      </c>
      <c r="F42" s="2"/>
      <c r="G42" s="7"/>
      <c r="H42" s="2" t="s">
        <v>2359</v>
      </c>
      <c r="I42" s="2" t="s">
        <v>2727</v>
      </c>
      <c r="J42" s="2" t="s">
        <v>2361</v>
      </c>
      <c r="K42" s="2" t="s">
        <v>1080</v>
      </c>
      <c r="L42" s="8" t="str">
        <f>HYPERLINK("http://slimages.macys.com/is/image/MCY/16140166 ")</f>
        <v xml:space="preserve">http://slimages.macys.com/is/image/MCY/16140166 </v>
      </c>
    </row>
    <row r="43" spans="1:12" ht="30" customHeight="1" x14ac:dyDescent="0.25">
      <c r="A43" s="5" t="s">
        <v>1084</v>
      </c>
      <c r="B43" s="2" t="s">
        <v>1085</v>
      </c>
      <c r="C43" s="3">
        <v>1</v>
      </c>
      <c r="D43" s="6">
        <v>114.99</v>
      </c>
      <c r="E43" s="3" t="s">
        <v>1086</v>
      </c>
      <c r="F43" s="2" t="s">
        <v>2381</v>
      </c>
      <c r="G43" s="7"/>
      <c r="H43" s="2" t="s">
        <v>2359</v>
      </c>
      <c r="I43" s="2" t="s">
        <v>2803</v>
      </c>
      <c r="J43" s="2"/>
      <c r="K43" s="2"/>
      <c r="L43" s="8"/>
    </row>
    <row r="44" spans="1:12" ht="30" customHeight="1" x14ac:dyDescent="0.25">
      <c r="A44" s="5" t="s">
        <v>1087</v>
      </c>
      <c r="B44" s="2" t="s">
        <v>1088</v>
      </c>
      <c r="C44" s="3">
        <v>1</v>
      </c>
      <c r="D44" s="6">
        <v>64.989999999999995</v>
      </c>
      <c r="E44" s="3" t="s">
        <v>1089</v>
      </c>
      <c r="F44" s="2" t="s">
        <v>2374</v>
      </c>
      <c r="G44" s="7"/>
      <c r="H44" s="2" t="s">
        <v>2359</v>
      </c>
      <c r="I44" s="2" t="s">
        <v>2406</v>
      </c>
      <c r="J44" s="2"/>
      <c r="K44" s="2"/>
      <c r="L44" s="8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/>
  </sheetViews>
  <sheetFormatPr defaultRowHeight="30" customHeight="1" x14ac:dyDescent="0.25"/>
  <cols>
    <col min="1" max="1" width="14.28515625" customWidth="1"/>
    <col min="2" max="2" width="25.140625" customWidth="1"/>
    <col min="3" max="4" width="15" customWidth="1"/>
    <col min="5" max="5" width="17.140625" customWidth="1"/>
    <col min="6" max="6" width="11.42578125" customWidth="1"/>
    <col min="7" max="7" width="9.7109375" customWidth="1"/>
    <col min="8" max="8" width="12.140625" customWidth="1"/>
    <col min="9" max="9" width="36.5703125" bestFit="1" customWidth="1"/>
    <col min="10" max="10" width="20.7109375" customWidth="1"/>
    <col min="11" max="11" width="68.42578125" bestFit="1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1090</v>
      </c>
      <c r="B2" s="2" t="s">
        <v>1091</v>
      </c>
      <c r="C2" s="3">
        <v>1</v>
      </c>
      <c r="D2" s="6">
        <v>176.99</v>
      </c>
      <c r="E2" s="3" t="s">
        <v>1092</v>
      </c>
      <c r="F2" s="2" t="s">
        <v>2440</v>
      </c>
      <c r="G2" s="7"/>
      <c r="H2" s="2" t="s">
        <v>2419</v>
      </c>
      <c r="I2" s="2" t="s">
        <v>2406</v>
      </c>
      <c r="J2" s="2" t="s">
        <v>2361</v>
      </c>
      <c r="K2" s="2" t="s">
        <v>1093</v>
      </c>
      <c r="L2" s="8" t="str">
        <f>HYPERLINK("http://slimages.macys.com/is/image/MCY/10288162 ")</f>
        <v xml:space="preserve">http://slimages.macys.com/is/image/MCY/10288162 </v>
      </c>
    </row>
    <row r="3" spans="1:12" ht="30" customHeight="1" x14ac:dyDescent="0.25">
      <c r="A3" s="5" t="s">
        <v>1094</v>
      </c>
      <c r="B3" s="2" t="s">
        <v>1095</v>
      </c>
      <c r="C3" s="3">
        <v>1</v>
      </c>
      <c r="D3" s="6">
        <v>129.99</v>
      </c>
      <c r="E3" s="3" t="s">
        <v>1096</v>
      </c>
      <c r="F3" s="2" t="s">
        <v>2440</v>
      </c>
      <c r="G3" s="7"/>
      <c r="H3" s="2" t="s">
        <v>2359</v>
      </c>
      <c r="I3" s="2" t="s">
        <v>2406</v>
      </c>
      <c r="J3" s="2" t="s">
        <v>2361</v>
      </c>
      <c r="K3" s="2" t="s">
        <v>2377</v>
      </c>
      <c r="L3" s="8" t="str">
        <f>HYPERLINK("http://slimages.macys.com/is/image/MCY/8930319 ")</f>
        <v xml:space="preserve">http://slimages.macys.com/is/image/MCY/8930319 </v>
      </c>
    </row>
    <row r="4" spans="1:12" ht="30" customHeight="1" x14ac:dyDescent="0.25">
      <c r="A4" s="5" t="s">
        <v>1097</v>
      </c>
      <c r="B4" s="2" t="s">
        <v>1098</v>
      </c>
      <c r="C4" s="3">
        <v>1</v>
      </c>
      <c r="D4" s="6">
        <v>119.99</v>
      </c>
      <c r="E4" s="3" t="s">
        <v>1099</v>
      </c>
      <c r="F4" s="2" t="s">
        <v>2440</v>
      </c>
      <c r="G4" s="7"/>
      <c r="H4" s="2" t="s">
        <v>2419</v>
      </c>
      <c r="I4" s="2" t="s">
        <v>2406</v>
      </c>
      <c r="J4" s="2" t="s">
        <v>2361</v>
      </c>
      <c r="K4" s="2" t="s">
        <v>1100</v>
      </c>
      <c r="L4" s="8" t="str">
        <f>HYPERLINK("http://slimages.macys.com/is/image/MCY/9627795 ")</f>
        <v xml:space="preserve">http://slimages.macys.com/is/image/MCY/9627795 </v>
      </c>
    </row>
    <row r="5" spans="1:12" ht="30" customHeight="1" x14ac:dyDescent="0.25">
      <c r="A5" s="5" t="s">
        <v>1101</v>
      </c>
      <c r="B5" s="2" t="s">
        <v>1102</v>
      </c>
      <c r="C5" s="3">
        <v>1</v>
      </c>
      <c r="D5" s="6">
        <v>128.99</v>
      </c>
      <c r="E5" s="3" t="s">
        <v>1103</v>
      </c>
      <c r="F5" s="2" t="s">
        <v>2793</v>
      </c>
      <c r="G5" s="7" t="s">
        <v>1104</v>
      </c>
      <c r="H5" s="2" t="s">
        <v>2359</v>
      </c>
      <c r="I5" s="2" t="s">
        <v>1105</v>
      </c>
      <c r="J5" s="2" t="s">
        <v>2361</v>
      </c>
      <c r="K5" s="2" t="s">
        <v>2377</v>
      </c>
      <c r="L5" s="8" t="str">
        <f>HYPERLINK("http://slimages.macys.com/is/image/MCY/14477250 ")</f>
        <v xml:space="preserve">http://slimages.macys.com/is/image/MCY/14477250 </v>
      </c>
    </row>
    <row r="6" spans="1:12" ht="30" customHeight="1" x14ac:dyDescent="0.25">
      <c r="A6" s="5" t="s">
        <v>1106</v>
      </c>
      <c r="B6" s="2" t="s">
        <v>1107</v>
      </c>
      <c r="C6" s="3">
        <v>1</v>
      </c>
      <c r="D6" s="6">
        <v>99.99</v>
      </c>
      <c r="E6" s="3" t="s">
        <v>1108</v>
      </c>
      <c r="F6" s="2" t="s">
        <v>3024</v>
      </c>
      <c r="G6" s="7"/>
      <c r="H6" s="2" t="s">
        <v>2359</v>
      </c>
      <c r="I6" s="2" t="s">
        <v>2406</v>
      </c>
      <c r="J6" s="2" t="s">
        <v>2361</v>
      </c>
      <c r="K6" s="2" t="s">
        <v>1109</v>
      </c>
      <c r="L6" s="8" t="str">
        <f>HYPERLINK("http://slimages.macys.com/is/image/MCY/9188023 ")</f>
        <v xml:space="preserve">http://slimages.macys.com/is/image/MCY/9188023 </v>
      </c>
    </row>
    <row r="7" spans="1:12" ht="30" customHeight="1" x14ac:dyDescent="0.25">
      <c r="A7" s="5" t="s">
        <v>1110</v>
      </c>
      <c r="B7" s="2" t="s">
        <v>1111</v>
      </c>
      <c r="C7" s="3">
        <v>1</v>
      </c>
      <c r="D7" s="6">
        <v>79.989999999999995</v>
      </c>
      <c r="E7" s="3" t="s">
        <v>1112</v>
      </c>
      <c r="F7" s="2" t="s">
        <v>2374</v>
      </c>
      <c r="G7" s="7"/>
      <c r="H7" s="2" t="s">
        <v>2368</v>
      </c>
      <c r="I7" s="2" t="s">
        <v>1113</v>
      </c>
      <c r="J7" s="2" t="s">
        <v>2361</v>
      </c>
      <c r="K7" s="2"/>
      <c r="L7" s="8" t="str">
        <f>HYPERLINK("http://slimages.macys.com/is/image/MCY/9936547 ")</f>
        <v xml:space="preserve">http://slimages.macys.com/is/image/MCY/9936547 </v>
      </c>
    </row>
    <row r="8" spans="1:12" ht="30" customHeight="1" x14ac:dyDescent="0.25">
      <c r="A8" s="5" t="s">
        <v>1114</v>
      </c>
      <c r="B8" s="2" t="s">
        <v>1115</v>
      </c>
      <c r="C8" s="3">
        <v>1</v>
      </c>
      <c r="D8" s="6">
        <v>88.99</v>
      </c>
      <c r="E8" s="3" t="s">
        <v>1116</v>
      </c>
      <c r="F8" s="2" t="s">
        <v>2424</v>
      </c>
      <c r="G8" s="7"/>
      <c r="H8" s="2" t="s">
        <v>2359</v>
      </c>
      <c r="I8" s="2" t="s">
        <v>2406</v>
      </c>
      <c r="J8" s="2" t="s">
        <v>2361</v>
      </c>
      <c r="K8" s="2" t="s">
        <v>2377</v>
      </c>
      <c r="L8" s="8" t="str">
        <f>HYPERLINK("http://slimages.macys.com/is/image/MCY/16484861 ")</f>
        <v xml:space="preserve">http://slimages.macys.com/is/image/MCY/16484861 </v>
      </c>
    </row>
    <row r="9" spans="1:12" ht="30" customHeight="1" x14ac:dyDescent="0.25">
      <c r="A9" s="5" t="s">
        <v>1117</v>
      </c>
      <c r="B9" s="2" t="s">
        <v>1118</v>
      </c>
      <c r="C9" s="3">
        <v>1</v>
      </c>
      <c r="D9" s="6">
        <v>69.989999999999995</v>
      </c>
      <c r="E9" s="3" t="s">
        <v>1119</v>
      </c>
      <c r="F9" s="2" t="s">
        <v>2472</v>
      </c>
      <c r="G9" s="7"/>
      <c r="H9" s="2" t="s">
        <v>2473</v>
      </c>
      <c r="I9" s="2" t="s">
        <v>2474</v>
      </c>
      <c r="J9" s="2" t="s">
        <v>2361</v>
      </c>
      <c r="K9" s="2"/>
      <c r="L9" s="8" t="str">
        <f>HYPERLINK("http://slimages.macys.com/is/image/MCY/9965724 ")</f>
        <v xml:space="preserve">http://slimages.macys.com/is/image/MCY/9965724 </v>
      </c>
    </row>
    <row r="10" spans="1:12" ht="30" customHeight="1" x14ac:dyDescent="0.25">
      <c r="A10" s="5" t="s">
        <v>1120</v>
      </c>
      <c r="B10" s="2" t="s">
        <v>1121</v>
      </c>
      <c r="C10" s="3">
        <v>1</v>
      </c>
      <c r="D10" s="6">
        <v>69.989999999999995</v>
      </c>
      <c r="E10" s="3" t="s">
        <v>1119</v>
      </c>
      <c r="F10" s="2" t="s">
        <v>3238</v>
      </c>
      <c r="G10" s="7"/>
      <c r="H10" s="2" t="s">
        <v>2473</v>
      </c>
      <c r="I10" s="2" t="s">
        <v>2474</v>
      </c>
      <c r="J10" s="2" t="s">
        <v>2361</v>
      </c>
      <c r="K10" s="2"/>
      <c r="L10" s="8" t="str">
        <f>HYPERLINK("http://slimages.macys.com/is/image/MCY/9965724 ")</f>
        <v xml:space="preserve">http://slimages.macys.com/is/image/MCY/9965724 </v>
      </c>
    </row>
    <row r="11" spans="1:12" ht="30" customHeight="1" x14ac:dyDescent="0.25">
      <c r="A11" s="5" t="s">
        <v>1122</v>
      </c>
      <c r="B11" s="2" t="s">
        <v>1123</v>
      </c>
      <c r="C11" s="3">
        <v>1</v>
      </c>
      <c r="D11" s="6">
        <v>59.99</v>
      </c>
      <c r="E11" s="3" t="s">
        <v>1124</v>
      </c>
      <c r="F11" s="2" t="s">
        <v>2488</v>
      </c>
      <c r="G11" s="7"/>
      <c r="H11" s="2" t="s">
        <v>2419</v>
      </c>
      <c r="I11" s="2" t="s">
        <v>1125</v>
      </c>
      <c r="J11" s="2" t="s">
        <v>2361</v>
      </c>
      <c r="K11" s="2" t="s">
        <v>1126</v>
      </c>
      <c r="L11" s="8" t="str">
        <f>HYPERLINK("http://slimages.macys.com/is/image/MCY/3252301 ")</f>
        <v xml:space="preserve">http://slimages.macys.com/is/image/MCY/3252301 </v>
      </c>
    </row>
    <row r="12" spans="1:12" ht="30" customHeight="1" x14ac:dyDescent="0.25">
      <c r="A12" s="5" t="s">
        <v>1127</v>
      </c>
      <c r="B12" s="2" t="s">
        <v>1123</v>
      </c>
      <c r="C12" s="3">
        <v>1</v>
      </c>
      <c r="D12" s="6">
        <v>49.99</v>
      </c>
      <c r="E12" s="3" t="s">
        <v>1128</v>
      </c>
      <c r="F12" s="2" t="s">
        <v>2488</v>
      </c>
      <c r="G12" s="7"/>
      <c r="H12" s="2" t="s">
        <v>2419</v>
      </c>
      <c r="I12" s="2" t="s">
        <v>1125</v>
      </c>
      <c r="J12" s="2" t="s">
        <v>2361</v>
      </c>
      <c r="K12" s="2" t="s">
        <v>1126</v>
      </c>
      <c r="L12" s="8" t="str">
        <f>HYPERLINK("http://slimages.macys.com/is/image/MCY/3252301 ")</f>
        <v xml:space="preserve">http://slimages.macys.com/is/image/MCY/3252301 </v>
      </c>
    </row>
    <row r="13" spans="1:12" ht="30" customHeight="1" x14ac:dyDescent="0.25">
      <c r="A13" s="5" t="s">
        <v>1129</v>
      </c>
      <c r="B13" s="2" t="s">
        <v>1130</v>
      </c>
      <c r="C13" s="3">
        <v>1</v>
      </c>
      <c r="D13" s="6">
        <v>61.99</v>
      </c>
      <c r="E13" s="3" t="s">
        <v>1130</v>
      </c>
      <c r="F13" s="2" t="s">
        <v>2849</v>
      </c>
      <c r="G13" s="7"/>
      <c r="H13" s="2" t="s">
        <v>2419</v>
      </c>
      <c r="I13" s="2" t="s">
        <v>3032</v>
      </c>
      <c r="J13" s="2" t="s">
        <v>2361</v>
      </c>
      <c r="K13" s="2" t="s">
        <v>1131</v>
      </c>
      <c r="L13" s="8" t="str">
        <f>HYPERLINK("http://slimages.macys.com/is/image/MCY/13066788 ")</f>
        <v xml:space="preserve">http://slimages.macys.com/is/image/MCY/13066788 </v>
      </c>
    </row>
    <row r="14" spans="1:12" ht="30" customHeight="1" x14ac:dyDescent="0.25">
      <c r="A14" s="5" t="s">
        <v>1132</v>
      </c>
      <c r="B14" s="2" t="s">
        <v>1133</v>
      </c>
      <c r="C14" s="3">
        <v>1</v>
      </c>
      <c r="D14" s="6">
        <v>55.99</v>
      </c>
      <c r="E14" s="3" t="s">
        <v>1134</v>
      </c>
      <c r="F14" s="2" t="s">
        <v>2381</v>
      </c>
      <c r="G14" s="7"/>
      <c r="H14" s="2" t="s">
        <v>2359</v>
      </c>
      <c r="I14" s="2" t="s">
        <v>2406</v>
      </c>
      <c r="J14" s="2" t="s">
        <v>2361</v>
      </c>
      <c r="K14" s="2" t="s">
        <v>2377</v>
      </c>
      <c r="L14" s="8" t="str">
        <f>HYPERLINK("http://slimages.macys.com/is/image/MCY/9777968 ")</f>
        <v xml:space="preserve">http://slimages.macys.com/is/image/MCY/9777968 </v>
      </c>
    </row>
    <row r="15" spans="1:12" ht="30" customHeight="1" x14ac:dyDescent="0.25">
      <c r="A15" s="5" t="s">
        <v>1135</v>
      </c>
      <c r="B15" s="2" t="s">
        <v>1136</v>
      </c>
      <c r="C15" s="3">
        <v>1</v>
      </c>
      <c r="D15" s="6">
        <v>59.99</v>
      </c>
      <c r="E15" s="3" t="s">
        <v>1137</v>
      </c>
      <c r="F15" s="2" t="s">
        <v>2440</v>
      </c>
      <c r="G15" s="7"/>
      <c r="H15" s="2" t="s">
        <v>2359</v>
      </c>
      <c r="I15" s="2" t="s">
        <v>2406</v>
      </c>
      <c r="J15" s="2" t="s">
        <v>2361</v>
      </c>
      <c r="K15" s="2" t="s">
        <v>1138</v>
      </c>
      <c r="L15" s="8" t="str">
        <f>HYPERLINK("http://slimages.macys.com/is/image/MCY/9505519 ")</f>
        <v xml:space="preserve">http://slimages.macys.com/is/image/MCY/9505519 </v>
      </c>
    </row>
    <row r="16" spans="1:12" ht="30" customHeight="1" x14ac:dyDescent="0.25">
      <c r="A16" s="5" t="s">
        <v>1139</v>
      </c>
      <c r="B16" s="2" t="s">
        <v>1140</v>
      </c>
      <c r="C16" s="3">
        <v>1</v>
      </c>
      <c r="D16" s="6">
        <v>39.99</v>
      </c>
      <c r="E16" s="3" t="s">
        <v>1141</v>
      </c>
      <c r="F16" s="2" t="s">
        <v>2440</v>
      </c>
      <c r="G16" s="7"/>
      <c r="H16" s="2" t="s">
        <v>2419</v>
      </c>
      <c r="I16" s="2" t="s">
        <v>2406</v>
      </c>
      <c r="J16" s="2" t="s">
        <v>2361</v>
      </c>
      <c r="K16" s="2" t="s">
        <v>1142</v>
      </c>
      <c r="L16" s="8" t="str">
        <f>HYPERLINK("http://slimages.macys.com/is/image/MCY/9602447 ")</f>
        <v xml:space="preserve">http://slimages.macys.com/is/image/MCY/9602447 </v>
      </c>
    </row>
    <row r="17" spans="1:12" ht="30" customHeight="1" x14ac:dyDescent="0.25">
      <c r="A17" s="5" t="s">
        <v>1143</v>
      </c>
      <c r="B17" s="2" t="s">
        <v>2716</v>
      </c>
      <c r="C17" s="3">
        <v>4</v>
      </c>
      <c r="D17" s="6">
        <v>36.99</v>
      </c>
      <c r="E17" s="3">
        <v>47371</v>
      </c>
      <c r="F17" s="2" t="s">
        <v>2381</v>
      </c>
      <c r="G17" s="7"/>
      <c r="H17" s="2" t="s">
        <v>2419</v>
      </c>
      <c r="I17" s="2" t="s">
        <v>2697</v>
      </c>
      <c r="J17" s="2" t="s">
        <v>2361</v>
      </c>
      <c r="K17" s="2" t="s">
        <v>2377</v>
      </c>
      <c r="L17" s="8" t="str">
        <f>HYPERLINK("http://slimages.macys.com/is/image/MCY/3208152 ")</f>
        <v xml:space="preserve">http://slimages.macys.com/is/image/MCY/3208152 </v>
      </c>
    </row>
    <row r="18" spans="1:12" ht="30" customHeight="1" x14ac:dyDescent="0.25">
      <c r="A18" s="5" t="s">
        <v>1144</v>
      </c>
      <c r="B18" s="2" t="s">
        <v>1145</v>
      </c>
      <c r="C18" s="3">
        <v>3</v>
      </c>
      <c r="D18" s="6">
        <v>39.99</v>
      </c>
      <c r="E18" s="3" t="s">
        <v>1146</v>
      </c>
      <c r="F18" s="2" t="s">
        <v>1147</v>
      </c>
      <c r="G18" s="7" t="s">
        <v>2627</v>
      </c>
      <c r="H18" s="2" t="s">
        <v>3433</v>
      </c>
      <c r="I18" s="2" t="s">
        <v>1148</v>
      </c>
      <c r="J18" s="2" t="s">
        <v>2432</v>
      </c>
      <c r="K18" s="2" t="s">
        <v>1149</v>
      </c>
      <c r="L18" s="8" t="str">
        <f>HYPERLINK("http://slimages.macys.com/is/image/MCY/8691497 ")</f>
        <v xml:space="preserve">http://slimages.macys.com/is/image/MCY/8691497 </v>
      </c>
    </row>
    <row r="19" spans="1:12" ht="30" customHeight="1" x14ac:dyDescent="0.25">
      <c r="A19" s="5" t="s">
        <v>1150</v>
      </c>
      <c r="B19" s="2" t="s">
        <v>1151</v>
      </c>
      <c r="C19" s="3">
        <v>1</v>
      </c>
      <c r="D19" s="6">
        <v>39.99</v>
      </c>
      <c r="E19" s="3" t="s">
        <v>1152</v>
      </c>
      <c r="F19" s="2" t="s">
        <v>2401</v>
      </c>
      <c r="G19" s="7"/>
      <c r="H19" s="2" t="s">
        <v>2459</v>
      </c>
      <c r="I19" s="2" t="s">
        <v>2406</v>
      </c>
      <c r="J19" s="2" t="s">
        <v>2361</v>
      </c>
      <c r="K19" s="2" t="s">
        <v>1153</v>
      </c>
      <c r="L19" s="8" t="str">
        <f>HYPERLINK("http://slimages.macys.com/is/image/MCY/10044232 ")</f>
        <v xml:space="preserve">http://slimages.macys.com/is/image/MCY/10044232 </v>
      </c>
    </row>
    <row r="20" spans="1:12" ht="30" customHeight="1" x14ac:dyDescent="0.25">
      <c r="A20" s="5" t="s">
        <v>3040</v>
      </c>
      <c r="B20" s="2" t="s">
        <v>3041</v>
      </c>
      <c r="C20" s="3">
        <v>1</v>
      </c>
      <c r="D20" s="6">
        <v>39.99</v>
      </c>
      <c r="E20" s="3" t="s">
        <v>3042</v>
      </c>
      <c r="F20" s="2" t="s">
        <v>3024</v>
      </c>
      <c r="G20" s="7"/>
      <c r="H20" s="2" t="s">
        <v>2459</v>
      </c>
      <c r="I20" s="2" t="s">
        <v>2406</v>
      </c>
      <c r="J20" s="2" t="s">
        <v>2432</v>
      </c>
      <c r="K20" s="2" t="s">
        <v>2377</v>
      </c>
      <c r="L20" s="8" t="str">
        <f>HYPERLINK("http://slimages.macys.com/is/image/MCY/11703270 ")</f>
        <v xml:space="preserve">http://slimages.macys.com/is/image/MCY/11703270 </v>
      </c>
    </row>
    <row r="21" spans="1:12" ht="30" customHeight="1" x14ac:dyDescent="0.25">
      <c r="A21" s="5" t="s">
        <v>1154</v>
      </c>
      <c r="B21" s="2" t="s">
        <v>2647</v>
      </c>
      <c r="C21" s="3">
        <v>1</v>
      </c>
      <c r="D21" s="6">
        <v>35.99</v>
      </c>
      <c r="E21" s="3" t="s">
        <v>1155</v>
      </c>
      <c r="F21" s="2" t="s">
        <v>1156</v>
      </c>
      <c r="G21" s="7"/>
      <c r="H21" s="2" t="s">
        <v>2419</v>
      </c>
      <c r="I21" s="2" t="s">
        <v>2406</v>
      </c>
      <c r="J21" s="2" t="s">
        <v>2361</v>
      </c>
      <c r="K21" s="2" t="s">
        <v>2484</v>
      </c>
      <c r="L21" s="8" t="str">
        <f>HYPERLINK("http://slimages.macys.com/is/image/MCY/8216605 ")</f>
        <v xml:space="preserve">http://slimages.macys.com/is/image/MCY/8216605 </v>
      </c>
    </row>
    <row r="22" spans="1:12" ht="30" customHeight="1" x14ac:dyDescent="0.25">
      <c r="A22" s="5" t="s">
        <v>1157</v>
      </c>
      <c r="B22" s="2" t="s">
        <v>1158</v>
      </c>
      <c r="C22" s="3">
        <v>1</v>
      </c>
      <c r="D22" s="6">
        <v>24.99</v>
      </c>
      <c r="E22" s="3" t="s">
        <v>1159</v>
      </c>
      <c r="F22" s="2" t="s">
        <v>2418</v>
      </c>
      <c r="G22" s="7" t="s">
        <v>2518</v>
      </c>
      <c r="H22" s="2" t="s">
        <v>2419</v>
      </c>
      <c r="I22" s="2" t="s">
        <v>2950</v>
      </c>
      <c r="J22" s="2" t="s">
        <v>2361</v>
      </c>
      <c r="K22" s="2"/>
      <c r="L22" s="8" t="str">
        <f>HYPERLINK("http://slimages.macys.com/is/image/MCY/13785213 ")</f>
        <v xml:space="preserve">http://slimages.macys.com/is/image/MCY/13785213 </v>
      </c>
    </row>
    <row r="23" spans="1:12" ht="30" customHeight="1" x14ac:dyDescent="0.25">
      <c r="A23" s="5" t="s">
        <v>1160</v>
      </c>
      <c r="B23" s="2" t="s">
        <v>1161</v>
      </c>
      <c r="C23" s="3">
        <v>1</v>
      </c>
      <c r="D23" s="6">
        <v>29.99</v>
      </c>
      <c r="E23" s="3">
        <v>18997600</v>
      </c>
      <c r="F23" s="2" t="s">
        <v>2394</v>
      </c>
      <c r="G23" s="7" t="s">
        <v>2627</v>
      </c>
      <c r="H23" s="2" t="s">
        <v>2419</v>
      </c>
      <c r="I23" s="2" t="s">
        <v>2447</v>
      </c>
      <c r="J23" s="2" t="s">
        <v>2361</v>
      </c>
      <c r="K23" s="2" t="s">
        <v>1162</v>
      </c>
      <c r="L23" s="8" t="str">
        <f>HYPERLINK("http://slimages.macys.com/is/image/MCY/9766058 ")</f>
        <v xml:space="preserve">http://slimages.macys.com/is/image/MCY/9766058 </v>
      </c>
    </row>
    <row r="24" spans="1:12" ht="30" customHeight="1" x14ac:dyDescent="0.25">
      <c r="A24" s="5" t="s">
        <v>1163</v>
      </c>
      <c r="B24" s="2" t="s">
        <v>1164</v>
      </c>
      <c r="C24" s="3">
        <v>1</v>
      </c>
      <c r="D24" s="6">
        <v>24.99</v>
      </c>
      <c r="E24" s="3" t="s">
        <v>1165</v>
      </c>
      <c r="F24" s="2" t="s">
        <v>2605</v>
      </c>
      <c r="G24" s="7"/>
      <c r="H24" s="2" t="s">
        <v>2419</v>
      </c>
      <c r="I24" s="2" t="s">
        <v>1060</v>
      </c>
      <c r="J24" s="2" t="s">
        <v>2361</v>
      </c>
      <c r="K24" s="2"/>
      <c r="L24" s="8" t="str">
        <f>HYPERLINK("http://slimages.macys.com/is/image/MCY/15383511 ")</f>
        <v xml:space="preserve">http://slimages.macys.com/is/image/MCY/15383511 </v>
      </c>
    </row>
    <row r="25" spans="1:12" ht="30" customHeight="1" x14ac:dyDescent="0.25">
      <c r="A25" s="5" t="s">
        <v>1166</v>
      </c>
      <c r="B25" s="2" t="s">
        <v>1164</v>
      </c>
      <c r="C25" s="3">
        <v>2</v>
      </c>
      <c r="D25" s="6">
        <v>24.99</v>
      </c>
      <c r="E25" s="3" t="s">
        <v>1167</v>
      </c>
      <c r="F25" s="2" t="s">
        <v>2517</v>
      </c>
      <c r="G25" s="7"/>
      <c r="H25" s="2" t="s">
        <v>2419</v>
      </c>
      <c r="I25" s="2" t="s">
        <v>1060</v>
      </c>
      <c r="J25" s="2" t="s">
        <v>2361</v>
      </c>
      <c r="K25" s="2"/>
      <c r="L25" s="8" t="str">
        <f>HYPERLINK("http://slimages.macys.com/is/image/MCY/15383511 ")</f>
        <v xml:space="preserve">http://slimages.macys.com/is/image/MCY/15383511 </v>
      </c>
    </row>
    <row r="26" spans="1:12" ht="30" customHeight="1" x14ac:dyDescent="0.25">
      <c r="A26" s="5" t="s">
        <v>1168</v>
      </c>
      <c r="B26" s="2" t="s">
        <v>1169</v>
      </c>
      <c r="C26" s="3">
        <v>3</v>
      </c>
      <c r="D26" s="6">
        <v>24.99</v>
      </c>
      <c r="E26" s="3" t="s">
        <v>1170</v>
      </c>
      <c r="F26" s="2" t="s">
        <v>2440</v>
      </c>
      <c r="G26" s="7"/>
      <c r="H26" s="2" t="s">
        <v>2419</v>
      </c>
      <c r="I26" s="2" t="s">
        <v>3104</v>
      </c>
      <c r="J26" s="2" t="s">
        <v>2361</v>
      </c>
      <c r="K26" s="2" t="s">
        <v>1171</v>
      </c>
      <c r="L26" s="8" t="str">
        <f>HYPERLINK("http://slimages.macys.com/is/image/MCY/11190392 ")</f>
        <v xml:space="preserve">http://slimages.macys.com/is/image/MCY/11190392 </v>
      </c>
    </row>
    <row r="27" spans="1:12" ht="30" customHeight="1" x14ac:dyDescent="0.25">
      <c r="A27" s="5" t="s">
        <v>1172</v>
      </c>
      <c r="B27" s="2" t="s">
        <v>1173</v>
      </c>
      <c r="C27" s="3">
        <v>1</v>
      </c>
      <c r="D27" s="6">
        <v>29.99</v>
      </c>
      <c r="E27" s="3" t="s">
        <v>1174</v>
      </c>
      <c r="F27" s="2" t="s">
        <v>2374</v>
      </c>
      <c r="G27" s="7"/>
      <c r="H27" s="2" t="s">
        <v>2419</v>
      </c>
      <c r="I27" s="2" t="s">
        <v>2376</v>
      </c>
      <c r="J27" s="2" t="s">
        <v>2361</v>
      </c>
      <c r="K27" s="2"/>
      <c r="L27" s="8" t="str">
        <f>HYPERLINK("http://slimages.macys.com/is/image/MCY/9023968 ")</f>
        <v xml:space="preserve">http://slimages.macys.com/is/image/MCY/9023968 </v>
      </c>
    </row>
    <row r="28" spans="1:12" ht="30" customHeight="1" x14ac:dyDescent="0.25">
      <c r="A28" s="5" t="s">
        <v>1175</v>
      </c>
      <c r="B28" s="2" t="s">
        <v>1176</v>
      </c>
      <c r="C28" s="3">
        <v>1</v>
      </c>
      <c r="D28" s="6">
        <v>29.99</v>
      </c>
      <c r="E28" s="3" t="s">
        <v>1177</v>
      </c>
      <c r="F28" s="2" t="s">
        <v>2374</v>
      </c>
      <c r="G28" s="7"/>
      <c r="H28" s="2" t="s">
        <v>2419</v>
      </c>
      <c r="I28" s="2" t="s">
        <v>2376</v>
      </c>
      <c r="J28" s="2" t="s">
        <v>2361</v>
      </c>
      <c r="K28" s="2"/>
      <c r="L28" s="8" t="str">
        <f>HYPERLINK("http://slimages.macys.com/is/image/MCY/9023968 ")</f>
        <v xml:space="preserve">http://slimages.macys.com/is/image/MCY/9023968 </v>
      </c>
    </row>
    <row r="29" spans="1:12" ht="30" customHeight="1" x14ac:dyDescent="0.25">
      <c r="A29" s="5" t="s">
        <v>1178</v>
      </c>
      <c r="B29" s="2" t="s">
        <v>1179</v>
      </c>
      <c r="C29" s="3">
        <v>1</v>
      </c>
      <c r="D29" s="6">
        <v>24.99</v>
      </c>
      <c r="E29" s="3" t="s">
        <v>1180</v>
      </c>
      <c r="F29" s="2" t="s">
        <v>2374</v>
      </c>
      <c r="G29" s="7"/>
      <c r="H29" s="2" t="s">
        <v>2459</v>
      </c>
      <c r="I29" s="2" t="s">
        <v>2447</v>
      </c>
      <c r="J29" s="2" t="s">
        <v>2361</v>
      </c>
      <c r="K29" s="2" t="s">
        <v>2377</v>
      </c>
      <c r="L29" s="8" t="str">
        <f>HYPERLINK("http://slimages.macys.com/is/image/MCY/9367759 ")</f>
        <v xml:space="preserve">http://slimages.macys.com/is/image/MCY/9367759 </v>
      </c>
    </row>
    <row r="30" spans="1:12" ht="30" customHeight="1" x14ac:dyDescent="0.25">
      <c r="A30" s="5" t="s">
        <v>1181</v>
      </c>
      <c r="B30" s="2" t="s">
        <v>1182</v>
      </c>
      <c r="C30" s="3">
        <v>1</v>
      </c>
      <c r="D30" s="6">
        <v>14.99</v>
      </c>
      <c r="E30" s="3" t="s">
        <v>1183</v>
      </c>
      <c r="F30" s="2" t="s">
        <v>2374</v>
      </c>
      <c r="G30" s="7" t="s">
        <v>2382</v>
      </c>
      <c r="H30" s="2" t="s">
        <v>2459</v>
      </c>
      <c r="I30" s="2" t="s">
        <v>1184</v>
      </c>
      <c r="J30" s="2"/>
      <c r="K30" s="2" t="s">
        <v>1185</v>
      </c>
      <c r="L30" s="8" t="str">
        <f>HYPERLINK("http://slimages.macys.com/is/image/MCY/940881 ")</f>
        <v xml:space="preserve">http://slimages.macys.com/is/image/MCY/940881 </v>
      </c>
    </row>
    <row r="31" spans="1:12" ht="30" customHeight="1" x14ac:dyDescent="0.25">
      <c r="A31" s="5" t="s">
        <v>1186</v>
      </c>
      <c r="B31" s="2" t="s">
        <v>1187</v>
      </c>
      <c r="C31" s="3">
        <v>1</v>
      </c>
      <c r="D31" s="6">
        <v>17.989999999999998</v>
      </c>
      <c r="E31" s="3">
        <v>78620</v>
      </c>
      <c r="F31" s="2" t="s">
        <v>2849</v>
      </c>
      <c r="G31" s="7" t="s">
        <v>2627</v>
      </c>
      <c r="H31" s="2" t="s">
        <v>2419</v>
      </c>
      <c r="I31" s="2" t="s">
        <v>2360</v>
      </c>
      <c r="J31" s="2" t="s">
        <v>2361</v>
      </c>
      <c r="K31" s="2"/>
      <c r="L31" s="8" t="str">
        <f>HYPERLINK("http://slimages.macys.com/is/image/MCY/9359358 ")</f>
        <v xml:space="preserve">http://slimages.macys.com/is/image/MCY/9359358 </v>
      </c>
    </row>
    <row r="32" spans="1:12" ht="30" customHeight="1" x14ac:dyDescent="0.25">
      <c r="A32" s="5" t="s">
        <v>1188</v>
      </c>
      <c r="B32" s="2" t="s">
        <v>1189</v>
      </c>
      <c r="C32" s="3">
        <v>1</v>
      </c>
      <c r="D32" s="6">
        <v>16.989999999999998</v>
      </c>
      <c r="E32" s="3" t="s">
        <v>1190</v>
      </c>
      <c r="F32" s="2"/>
      <c r="G32" s="7" t="s">
        <v>3050</v>
      </c>
      <c r="H32" s="2" t="s">
        <v>2419</v>
      </c>
      <c r="I32" s="2" t="s">
        <v>3104</v>
      </c>
      <c r="J32" s="2" t="s">
        <v>2361</v>
      </c>
      <c r="K32" s="2"/>
      <c r="L32" s="8" t="str">
        <f>HYPERLINK("http://slimages.macys.com/is/image/MCY/11926878 ")</f>
        <v xml:space="preserve">http://slimages.macys.com/is/image/MCY/11926878 </v>
      </c>
    </row>
    <row r="33" spans="1:12" ht="30" customHeight="1" x14ac:dyDescent="0.25">
      <c r="A33" s="5" t="s">
        <v>1191</v>
      </c>
      <c r="B33" s="2" t="s">
        <v>1192</v>
      </c>
      <c r="C33" s="3">
        <v>2</v>
      </c>
      <c r="D33" s="6">
        <v>29.99</v>
      </c>
      <c r="E33" s="3" t="s">
        <v>1193</v>
      </c>
      <c r="F33" s="2"/>
      <c r="G33" s="7"/>
      <c r="H33" s="2" t="s">
        <v>2459</v>
      </c>
      <c r="I33" s="2" t="s">
        <v>2807</v>
      </c>
      <c r="J33" s="2" t="s">
        <v>2361</v>
      </c>
      <c r="K33" s="2"/>
      <c r="L33" s="8" t="str">
        <f>HYPERLINK("http://slimages.macys.com/is/image/MCY/8308930 ")</f>
        <v xml:space="preserve">http://slimages.macys.com/is/image/MCY/8308930 </v>
      </c>
    </row>
    <row r="34" spans="1:12" ht="30" customHeight="1" x14ac:dyDescent="0.25">
      <c r="A34" s="5" t="s">
        <v>1194</v>
      </c>
      <c r="B34" s="2" t="s">
        <v>1195</v>
      </c>
      <c r="C34" s="3">
        <v>2</v>
      </c>
      <c r="D34" s="6">
        <v>19.989999999999998</v>
      </c>
      <c r="E34" s="3" t="s">
        <v>1196</v>
      </c>
      <c r="F34" s="2" t="s">
        <v>2506</v>
      </c>
      <c r="G34" s="7" t="s">
        <v>2382</v>
      </c>
      <c r="H34" s="2" t="s">
        <v>2419</v>
      </c>
      <c r="I34" s="2" t="s">
        <v>2632</v>
      </c>
      <c r="J34" s="2" t="s">
        <v>2361</v>
      </c>
      <c r="K34" s="2" t="s">
        <v>2831</v>
      </c>
      <c r="L34" s="8" t="str">
        <f>HYPERLINK("http://slimages.macys.com/is/image/MCY/9456553 ")</f>
        <v xml:space="preserve">http://slimages.macys.com/is/image/MCY/9456553 </v>
      </c>
    </row>
    <row r="35" spans="1:12" ht="30" customHeight="1" x14ac:dyDescent="0.25">
      <c r="A35" s="5" t="s">
        <v>1197</v>
      </c>
      <c r="B35" s="2" t="s">
        <v>1198</v>
      </c>
      <c r="C35" s="3">
        <v>1</v>
      </c>
      <c r="D35" s="6">
        <v>148.99</v>
      </c>
      <c r="E35" s="3" t="s">
        <v>1199</v>
      </c>
      <c r="F35" s="2" t="s">
        <v>2512</v>
      </c>
      <c r="G35" s="7"/>
      <c r="H35" s="2" t="s">
        <v>2359</v>
      </c>
      <c r="I35" s="2" t="s">
        <v>2406</v>
      </c>
      <c r="J35" s="2"/>
      <c r="K35" s="2"/>
      <c r="L35" s="8"/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30" customHeight="1" x14ac:dyDescent="0.25"/>
  <cols>
    <col min="1" max="1" width="14.28515625" customWidth="1"/>
    <col min="2" max="2" width="25.140625" customWidth="1"/>
    <col min="3" max="4" width="15" customWidth="1"/>
    <col min="5" max="5" width="17.140625" customWidth="1"/>
    <col min="6" max="7" width="11.42578125" customWidth="1"/>
    <col min="8" max="8" width="12.140625" customWidth="1"/>
    <col min="9" max="9" width="36.5703125" bestFit="1" customWidth="1"/>
    <col min="10" max="11" width="20.7109375" customWidth="1"/>
    <col min="12" max="12" width="64.28515625" customWidth="1"/>
  </cols>
  <sheetData>
    <row r="1" spans="1:12" ht="30" customHeight="1" x14ac:dyDescent="0.25">
      <c r="A1" s="1" t="s">
        <v>2344</v>
      </c>
      <c r="B1" s="1" t="s">
        <v>2345</v>
      </c>
      <c r="C1" s="1" t="s">
        <v>2346</v>
      </c>
      <c r="D1" s="1" t="s">
        <v>2347</v>
      </c>
      <c r="E1" s="1" t="s">
        <v>2348</v>
      </c>
      <c r="F1" s="1" t="s">
        <v>2349</v>
      </c>
      <c r="G1" s="1" t="s">
        <v>2350</v>
      </c>
      <c r="H1" s="1" t="s">
        <v>2351</v>
      </c>
      <c r="I1" s="1" t="s">
        <v>2352</v>
      </c>
      <c r="J1" s="1" t="s">
        <v>2353</v>
      </c>
      <c r="K1" s="1" t="s">
        <v>2354</v>
      </c>
      <c r="L1" s="1" t="s">
        <v>2355</v>
      </c>
    </row>
    <row r="2" spans="1:12" ht="30" customHeight="1" x14ac:dyDescent="0.25">
      <c r="A2" s="5" t="s">
        <v>1200</v>
      </c>
      <c r="B2" s="2" t="s">
        <v>1201</v>
      </c>
      <c r="C2" s="3">
        <v>1</v>
      </c>
      <c r="D2" s="6">
        <v>209.99</v>
      </c>
      <c r="E2" s="3" t="s">
        <v>1202</v>
      </c>
      <c r="F2" s="2" t="s">
        <v>2797</v>
      </c>
      <c r="G2" s="7"/>
      <c r="H2" s="2" t="s">
        <v>2359</v>
      </c>
      <c r="I2" s="2" t="s">
        <v>2406</v>
      </c>
      <c r="J2" s="2" t="s">
        <v>2361</v>
      </c>
      <c r="K2" s="2" t="s">
        <v>1203</v>
      </c>
      <c r="L2" s="8" t="str">
        <f>HYPERLINK("http://slimages.macys.com/is/image/MCY/9627965 ")</f>
        <v xml:space="preserve">http://slimages.macys.com/is/image/MCY/9627965 </v>
      </c>
    </row>
    <row r="3" spans="1:12" ht="30" customHeight="1" x14ac:dyDescent="0.25">
      <c r="A3" s="5" t="s">
        <v>1204</v>
      </c>
      <c r="B3" s="2" t="s">
        <v>1205</v>
      </c>
      <c r="C3" s="3">
        <v>1</v>
      </c>
      <c r="D3" s="6">
        <v>152.99</v>
      </c>
      <c r="E3" s="3" t="s">
        <v>1206</v>
      </c>
      <c r="F3" s="2" t="s">
        <v>2440</v>
      </c>
      <c r="G3" s="7"/>
      <c r="H3" s="2" t="s">
        <v>2412</v>
      </c>
      <c r="I3" s="2" t="s">
        <v>1207</v>
      </c>
      <c r="J3" s="2" t="s">
        <v>2467</v>
      </c>
      <c r="K3" s="2" t="s">
        <v>1208</v>
      </c>
      <c r="L3" s="8" t="str">
        <f>HYPERLINK("http://slimages.macys.com/is/image/MCY/10036041 ")</f>
        <v xml:space="preserve">http://slimages.macys.com/is/image/MCY/10036041 </v>
      </c>
    </row>
    <row r="4" spans="1:12" ht="30" customHeight="1" x14ac:dyDescent="0.25">
      <c r="A4" s="5" t="s">
        <v>1209</v>
      </c>
      <c r="B4" s="2" t="s">
        <v>1210</v>
      </c>
      <c r="C4" s="3">
        <v>1</v>
      </c>
      <c r="D4" s="6">
        <v>144.99</v>
      </c>
      <c r="E4" s="3" t="s">
        <v>1211</v>
      </c>
      <c r="F4" s="2" t="s">
        <v>2601</v>
      </c>
      <c r="G4" s="7"/>
      <c r="H4" s="2" t="s">
        <v>2419</v>
      </c>
      <c r="I4" s="2" t="s">
        <v>2583</v>
      </c>
      <c r="J4" s="2" t="s">
        <v>2361</v>
      </c>
      <c r="K4" s="2" t="s">
        <v>1212</v>
      </c>
      <c r="L4" s="8" t="str">
        <f>HYPERLINK("http://slimages.macys.com/is/image/MCY/13814261 ")</f>
        <v xml:space="preserve">http://slimages.macys.com/is/image/MCY/13814261 </v>
      </c>
    </row>
    <row r="5" spans="1:12" ht="30" customHeight="1" x14ac:dyDescent="0.25">
      <c r="A5" s="5" t="s">
        <v>1213</v>
      </c>
      <c r="B5" s="2" t="s">
        <v>1214</v>
      </c>
      <c r="C5" s="3">
        <v>1</v>
      </c>
      <c r="D5" s="6">
        <v>99.99</v>
      </c>
      <c r="E5" s="3" t="s">
        <v>1215</v>
      </c>
      <c r="F5" s="2" t="s">
        <v>2381</v>
      </c>
      <c r="G5" s="7"/>
      <c r="H5" s="2" t="s">
        <v>2359</v>
      </c>
      <c r="I5" s="2" t="s">
        <v>3104</v>
      </c>
      <c r="J5" s="2" t="s">
        <v>2361</v>
      </c>
      <c r="K5" s="2" t="s">
        <v>2448</v>
      </c>
      <c r="L5" s="8" t="str">
        <f>HYPERLINK("http://slimages.macys.com/is/image/MCY/10631389 ")</f>
        <v xml:space="preserve">http://slimages.macys.com/is/image/MCY/10631389 </v>
      </c>
    </row>
    <row r="6" spans="1:12" ht="30" customHeight="1" x14ac:dyDescent="0.25">
      <c r="A6" s="5" t="s">
        <v>1216</v>
      </c>
      <c r="B6" s="2" t="s">
        <v>1217</v>
      </c>
      <c r="C6" s="3">
        <v>1</v>
      </c>
      <c r="D6" s="6">
        <v>175.99</v>
      </c>
      <c r="E6" s="3">
        <v>79345</v>
      </c>
      <c r="F6" s="2" t="s">
        <v>1156</v>
      </c>
      <c r="G6" s="7"/>
      <c r="H6" s="2" t="s">
        <v>2359</v>
      </c>
      <c r="I6" s="2" t="s">
        <v>2360</v>
      </c>
      <c r="J6" s="2" t="s">
        <v>2361</v>
      </c>
      <c r="K6" s="2" t="s">
        <v>1218</v>
      </c>
      <c r="L6" s="8" t="str">
        <f>HYPERLINK("http://slimages.macys.com/is/image/MCY/11942490 ")</f>
        <v xml:space="preserve">http://slimages.macys.com/is/image/MCY/11942490 </v>
      </c>
    </row>
    <row r="7" spans="1:12" ht="30" customHeight="1" x14ac:dyDescent="0.25">
      <c r="A7" s="5" t="s">
        <v>1219</v>
      </c>
      <c r="B7" s="2" t="s">
        <v>1220</v>
      </c>
      <c r="C7" s="3">
        <v>1</v>
      </c>
      <c r="D7" s="6">
        <v>89.99</v>
      </c>
      <c r="E7" s="3" t="s">
        <v>1221</v>
      </c>
      <c r="F7" s="2" t="s">
        <v>2374</v>
      </c>
      <c r="G7" s="7" t="s">
        <v>1222</v>
      </c>
      <c r="H7" s="2" t="s">
        <v>2419</v>
      </c>
      <c r="I7" s="2" t="s">
        <v>2583</v>
      </c>
      <c r="J7" s="2" t="s">
        <v>2361</v>
      </c>
      <c r="K7" s="2" t="s">
        <v>2377</v>
      </c>
      <c r="L7" s="8" t="str">
        <f>HYPERLINK("http://slimages.macys.com/is/image/MCY/12225408 ")</f>
        <v xml:space="preserve">http://slimages.macys.com/is/image/MCY/12225408 </v>
      </c>
    </row>
    <row r="8" spans="1:12" ht="30" customHeight="1" x14ac:dyDescent="0.25">
      <c r="A8" s="5" t="s">
        <v>1223</v>
      </c>
      <c r="B8" s="2" t="s">
        <v>1224</v>
      </c>
      <c r="C8" s="3">
        <v>2</v>
      </c>
      <c r="D8" s="6">
        <v>99.99</v>
      </c>
      <c r="E8" s="3" t="s">
        <v>1225</v>
      </c>
      <c r="F8" s="2" t="s">
        <v>3194</v>
      </c>
      <c r="G8" s="7"/>
      <c r="H8" s="2" t="s">
        <v>2532</v>
      </c>
      <c r="I8" s="2" t="s">
        <v>2928</v>
      </c>
      <c r="J8" s="2" t="s">
        <v>2361</v>
      </c>
      <c r="K8" s="2" t="s">
        <v>2881</v>
      </c>
      <c r="L8" s="8" t="str">
        <f>HYPERLINK("http://slimages.macys.com/is/image/MCY/3776637 ")</f>
        <v xml:space="preserve">http://slimages.macys.com/is/image/MCY/3776637 </v>
      </c>
    </row>
    <row r="9" spans="1:12" ht="30" customHeight="1" x14ac:dyDescent="0.25">
      <c r="A9" s="5" t="s">
        <v>1226</v>
      </c>
      <c r="B9" s="2" t="s">
        <v>1227</v>
      </c>
      <c r="C9" s="3">
        <v>1</v>
      </c>
      <c r="D9" s="6">
        <v>109.99</v>
      </c>
      <c r="E9" s="3" t="s">
        <v>1228</v>
      </c>
      <c r="F9" s="2" t="s">
        <v>2418</v>
      </c>
      <c r="G9" s="7"/>
      <c r="H9" s="2" t="s">
        <v>2359</v>
      </c>
      <c r="I9" s="2" t="s">
        <v>2406</v>
      </c>
      <c r="J9" s="2" t="s">
        <v>2361</v>
      </c>
      <c r="K9" s="2" t="s">
        <v>2377</v>
      </c>
      <c r="L9" s="8" t="str">
        <f>HYPERLINK("http://slimages.macys.com/is/image/MCY/8930319 ")</f>
        <v xml:space="preserve">http://slimages.macys.com/is/image/MCY/8930319 </v>
      </c>
    </row>
    <row r="10" spans="1:12" ht="30" customHeight="1" x14ac:dyDescent="0.25">
      <c r="A10" s="5" t="s">
        <v>1229</v>
      </c>
      <c r="B10" s="2" t="s">
        <v>1230</v>
      </c>
      <c r="C10" s="3">
        <v>1</v>
      </c>
      <c r="D10" s="6">
        <v>142.99</v>
      </c>
      <c r="E10" s="3" t="s">
        <v>1231</v>
      </c>
      <c r="F10" s="2" t="s">
        <v>2366</v>
      </c>
      <c r="G10" s="7"/>
      <c r="H10" s="2" t="s">
        <v>2359</v>
      </c>
      <c r="I10" s="2" t="s">
        <v>1232</v>
      </c>
      <c r="J10" s="2" t="s">
        <v>2361</v>
      </c>
      <c r="K10" s="2" t="s">
        <v>1233</v>
      </c>
      <c r="L10" s="8" t="str">
        <f>HYPERLINK("http://slimages.macys.com/is/image/MCY/10651500 ")</f>
        <v xml:space="preserve">http://slimages.macys.com/is/image/MCY/10651500 </v>
      </c>
    </row>
    <row r="11" spans="1:12" ht="30" customHeight="1" x14ac:dyDescent="0.25">
      <c r="A11" s="5" t="s">
        <v>1234</v>
      </c>
      <c r="B11" s="2" t="s">
        <v>1235</v>
      </c>
      <c r="C11" s="3">
        <v>2</v>
      </c>
      <c r="D11" s="6">
        <v>107.99</v>
      </c>
      <c r="E11" s="3" t="s">
        <v>1236</v>
      </c>
      <c r="F11" s="2" t="s">
        <v>2793</v>
      </c>
      <c r="G11" s="7" t="s">
        <v>1237</v>
      </c>
      <c r="H11" s="2" t="s">
        <v>2419</v>
      </c>
      <c r="I11" s="2" t="s">
        <v>3329</v>
      </c>
      <c r="J11" s="2" t="s">
        <v>2361</v>
      </c>
      <c r="K11" s="2" t="s">
        <v>2377</v>
      </c>
      <c r="L11" s="8" t="str">
        <f>HYPERLINK("http://slimages.macys.com/is/image/MCY/12210089 ")</f>
        <v xml:space="preserve">http://slimages.macys.com/is/image/MCY/12210089 </v>
      </c>
    </row>
    <row r="12" spans="1:12" ht="30" customHeight="1" x14ac:dyDescent="0.25">
      <c r="A12" s="5" t="s">
        <v>1238</v>
      </c>
      <c r="B12" s="2" t="s">
        <v>1239</v>
      </c>
      <c r="C12" s="3">
        <v>1</v>
      </c>
      <c r="D12" s="6">
        <v>88.99</v>
      </c>
      <c r="E12" s="3" t="s">
        <v>1240</v>
      </c>
      <c r="F12" s="2" t="s">
        <v>2953</v>
      </c>
      <c r="G12" s="7"/>
      <c r="H12" s="2" t="s">
        <v>2359</v>
      </c>
      <c r="I12" s="2" t="s">
        <v>2803</v>
      </c>
      <c r="J12" s="2" t="s">
        <v>2361</v>
      </c>
      <c r="K12" s="2" t="s">
        <v>2397</v>
      </c>
      <c r="L12" s="8" t="str">
        <f>HYPERLINK("http://slimages.macys.com/is/image/MCY/16503835 ")</f>
        <v xml:space="preserve">http://slimages.macys.com/is/image/MCY/16503835 </v>
      </c>
    </row>
    <row r="13" spans="1:12" ht="30" customHeight="1" x14ac:dyDescent="0.25">
      <c r="A13" s="5" t="s">
        <v>1241</v>
      </c>
      <c r="B13" s="2" t="s">
        <v>1242</v>
      </c>
      <c r="C13" s="3">
        <v>3</v>
      </c>
      <c r="D13" s="6">
        <v>74.989999999999995</v>
      </c>
      <c r="E13" s="3" t="s">
        <v>1243</v>
      </c>
      <c r="F13" s="2" t="s">
        <v>3024</v>
      </c>
      <c r="G13" s="7"/>
      <c r="H13" s="2" t="s">
        <v>2419</v>
      </c>
      <c r="I13" s="2" t="s">
        <v>2583</v>
      </c>
      <c r="J13" s="2" t="s">
        <v>2361</v>
      </c>
      <c r="K13" s="2" t="s">
        <v>2377</v>
      </c>
      <c r="L13" s="8" t="str">
        <f>HYPERLINK("http://slimages.macys.com/is/image/MCY/10341397 ")</f>
        <v xml:space="preserve">http://slimages.macys.com/is/image/MCY/10341397 </v>
      </c>
    </row>
    <row r="14" spans="1:12" ht="30" customHeight="1" x14ac:dyDescent="0.25">
      <c r="A14" s="5" t="s">
        <v>1244</v>
      </c>
      <c r="B14" s="2" t="s">
        <v>1245</v>
      </c>
      <c r="C14" s="3">
        <v>1</v>
      </c>
      <c r="D14" s="6">
        <v>59.99</v>
      </c>
      <c r="E14" s="3" t="s">
        <v>1246</v>
      </c>
      <c r="F14" s="2" t="s">
        <v>2517</v>
      </c>
      <c r="G14" s="7"/>
      <c r="H14" s="2" t="s">
        <v>2419</v>
      </c>
      <c r="I14" s="2" t="s">
        <v>3071</v>
      </c>
      <c r="J14" s="2" t="s">
        <v>2361</v>
      </c>
      <c r="K14" s="2" t="s">
        <v>2377</v>
      </c>
      <c r="L14" s="8" t="str">
        <f>HYPERLINK("http://slimages.macys.com/is/image/MCY/8152588 ")</f>
        <v xml:space="preserve">http://slimages.macys.com/is/image/MCY/8152588 </v>
      </c>
    </row>
    <row r="15" spans="1:12" ht="30" customHeight="1" x14ac:dyDescent="0.25">
      <c r="A15" s="5" t="s">
        <v>1247</v>
      </c>
      <c r="B15" s="2" t="s">
        <v>1248</v>
      </c>
      <c r="C15" s="3">
        <v>1</v>
      </c>
      <c r="D15" s="6">
        <v>77.989999999999995</v>
      </c>
      <c r="E15" s="3" t="s">
        <v>1249</v>
      </c>
      <c r="F15" s="2" t="s">
        <v>2953</v>
      </c>
      <c r="G15" s="7"/>
      <c r="H15" s="2" t="s">
        <v>2359</v>
      </c>
      <c r="I15" s="2" t="s">
        <v>2803</v>
      </c>
      <c r="J15" s="2" t="s">
        <v>2361</v>
      </c>
      <c r="K15" s="2" t="s">
        <v>2377</v>
      </c>
      <c r="L15" s="8" t="str">
        <f>HYPERLINK("http://slimages.macys.com/is/image/MCY/16149477 ")</f>
        <v xml:space="preserve">http://slimages.macys.com/is/image/MCY/16149477 </v>
      </c>
    </row>
    <row r="16" spans="1:12" ht="30" customHeight="1" x14ac:dyDescent="0.25">
      <c r="A16" s="5" t="s">
        <v>1250</v>
      </c>
      <c r="B16" s="2" t="s">
        <v>1251</v>
      </c>
      <c r="C16" s="3">
        <v>1</v>
      </c>
      <c r="D16" s="6">
        <v>62.99</v>
      </c>
      <c r="E16" s="3" t="s">
        <v>1252</v>
      </c>
      <c r="F16" s="2" t="s">
        <v>2381</v>
      </c>
      <c r="G16" s="7"/>
      <c r="H16" s="2" t="s">
        <v>2419</v>
      </c>
      <c r="I16" s="2" t="s">
        <v>1253</v>
      </c>
      <c r="J16" s="2" t="s">
        <v>2361</v>
      </c>
      <c r="K16" s="2" t="s">
        <v>2656</v>
      </c>
      <c r="L16" s="8" t="str">
        <f>HYPERLINK("http://slimages.macys.com/is/image/MCY/11760824 ")</f>
        <v xml:space="preserve">http://slimages.macys.com/is/image/MCY/11760824 </v>
      </c>
    </row>
    <row r="17" spans="1:12" ht="30" customHeight="1" x14ac:dyDescent="0.25">
      <c r="A17" s="5" t="s">
        <v>1254</v>
      </c>
      <c r="B17" s="2" t="s">
        <v>1255</v>
      </c>
      <c r="C17" s="3">
        <v>1</v>
      </c>
      <c r="D17" s="6">
        <v>59.99</v>
      </c>
      <c r="E17" s="3">
        <v>100051230</v>
      </c>
      <c r="F17" s="2" t="s">
        <v>2401</v>
      </c>
      <c r="G17" s="7"/>
      <c r="H17" s="2" t="s">
        <v>2984</v>
      </c>
      <c r="I17" s="2" t="s">
        <v>3059</v>
      </c>
      <c r="J17" s="2" t="s">
        <v>2361</v>
      </c>
      <c r="K17" s="2" t="s">
        <v>1256</v>
      </c>
      <c r="L17" s="8" t="str">
        <f>HYPERLINK("http://slimages.macys.com/is/image/MCY/11471280 ")</f>
        <v xml:space="preserve">http://slimages.macys.com/is/image/MCY/11471280 </v>
      </c>
    </row>
    <row r="18" spans="1:12" ht="30" customHeight="1" x14ac:dyDescent="0.25">
      <c r="A18" s="5" t="s">
        <v>1257</v>
      </c>
      <c r="B18" s="2" t="s">
        <v>1258</v>
      </c>
      <c r="C18" s="3">
        <v>1</v>
      </c>
      <c r="D18" s="6">
        <v>52.99</v>
      </c>
      <c r="E18" s="3" t="s">
        <v>1259</v>
      </c>
      <c r="F18" s="2" t="s">
        <v>2849</v>
      </c>
      <c r="G18" s="7"/>
      <c r="H18" s="2" t="s">
        <v>2359</v>
      </c>
      <c r="I18" s="2" t="s">
        <v>2406</v>
      </c>
      <c r="J18" s="2" t="s">
        <v>2361</v>
      </c>
      <c r="K18" s="2" t="s">
        <v>2607</v>
      </c>
      <c r="L18" s="8" t="str">
        <f>HYPERLINK("http://slimages.macys.com/is/image/MCY/9767705 ")</f>
        <v xml:space="preserve">http://slimages.macys.com/is/image/MCY/9767705 </v>
      </c>
    </row>
    <row r="19" spans="1:12" ht="30" customHeight="1" x14ac:dyDescent="0.25">
      <c r="A19" s="5" t="s">
        <v>1260</v>
      </c>
      <c r="B19" s="2" t="s">
        <v>1261</v>
      </c>
      <c r="C19" s="3">
        <v>1</v>
      </c>
      <c r="D19" s="6">
        <v>58.99</v>
      </c>
      <c r="E19" s="3" t="s">
        <v>1262</v>
      </c>
      <c r="F19" s="2" t="s">
        <v>2622</v>
      </c>
      <c r="G19" s="7"/>
      <c r="H19" s="2" t="s">
        <v>2359</v>
      </c>
      <c r="I19" s="2" t="s">
        <v>2406</v>
      </c>
      <c r="J19" s="2" t="s">
        <v>2361</v>
      </c>
      <c r="K19" s="2" t="s">
        <v>1263</v>
      </c>
      <c r="L19" s="8" t="str">
        <f>HYPERLINK("http://slimages.macys.com/is/image/MCY/9762846 ")</f>
        <v xml:space="preserve">http://slimages.macys.com/is/image/MCY/9762846 </v>
      </c>
    </row>
    <row r="20" spans="1:12" ht="30" customHeight="1" x14ac:dyDescent="0.25">
      <c r="A20" s="5" t="s">
        <v>1264</v>
      </c>
      <c r="B20" s="2" t="s">
        <v>1265</v>
      </c>
      <c r="C20" s="3">
        <v>1</v>
      </c>
      <c r="D20" s="6">
        <v>44.99</v>
      </c>
      <c r="E20" s="3" t="s">
        <v>1266</v>
      </c>
      <c r="F20" s="2" t="s">
        <v>2440</v>
      </c>
      <c r="G20" s="7" t="s">
        <v>1267</v>
      </c>
      <c r="H20" s="2" t="s">
        <v>2419</v>
      </c>
      <c r="I20" s="2" t="s">
        <v>1268</v>
      </c>
      <c r="J20" s="2" t="s">
        <v>2361</v>
      </c>
      <c r="K20" s="2" t="s">
        <v>2370</v>
      </c>
      <c r="L20" s="8" t="str">
        <f>HYPERLINK("http://slimages.macys.com/is/image/MCY/3736892 ")</f>
        <v xml:space="preserve">http://slimages.macys.com/is/image/MCY/3736892 </v>
      </c>
    </row>
    <row r="21" spans="1:12" ht="30" customHeight="1" x14ac:dyDescent="0.25">
      <c r="A21" s="5" t="s">
        <v>1269</v>
      </c>
      <c r="B21" s="2" t="s">
        <v>1270</v>
      </c>
      <c r="C21" s="3">
        <v>1</v>
      </c>
      <c r="D21" s="6">
        <v>37.99</v>
      </c>
      <c r="E21" s="3" t="s">
        <v>1271</v>
      </c>
      <c r="F21" s="2" t="s">
        <v>2440</v>
      </c>
      <c r="G21" s="7" t="s">
        <v>2518</v>
      </c>
      <c r="H21" s="2" t="s">
        <v>2419</v>
      </c>
      <c r="I21" s="2" t="s">
        <v>2406</v>
      </c>
      <c r="J21" s="2" t="s">
        <v>2361</v>
      </c>
      <c r="K21" s="2" t="s">
        <v>2811</v>
      </c>
      <c r="L21" s="8" t="str">
        <f>HYPERLINK("http://slimages.macys.com/is/image/MCY/9602308 ")</f>
        <v xml:space="preserve">http://slimages.macys.com/is/image/MCY/9602308 </v>
      </c>
    </row>
    <row r="22" spans="1:12" ht="30" customHeight="1" x14ac:dyDescent="0.25">
      <c r="A22" s="5" t="s">
        <v>1272</v>
      </c>
      <c r="B22" s="2" t="s">
        <v>1273</v>
      </c>
      <c r="C22" s="3">
        <v>2</v>
      </c>
      <c r="D22" s="6">
        <v>29.99</v>
      </c>
      <c r="E22" s="3" t="s">
        <v>1274</v>
      </c>
      <c r="F22" s="2" t="s">
        <v>2381</v>
      </c>
      <c r="G22" s="7" t="s">
        <v>2382</v>
      </c>
      <c r="H22" s="2" t="s">
        <v>2419</v>
      </c>
      <c r="I22" s="2" t="s">
        <v>2798</v>
      </c>
      <c r="J22" s="2" t="s">
        <v>2361</v>
      </c>
      <c r="K22" s="2" t="s">
        <v>1275</v>
      </c>
      <c r="L22" s="8" t="str">
        <f>HYPERLINK("http://slimages.macys.com/is/image/MCY/11838422 ")</f>
        <v xml:space="preserve">http://slimages.macys.com/is/image/MCY/11838422 </v>
      </c>
    </row>
    <row r="23" spans="1:12" ht="30" customHeight="1" x14ac:dyDescent="0.25">
      <c r="A23" s="5" t="s">
        <v>1276</v>
      </c>
      <c r="B23" s="2" t="s">
        <v>1277</v>
      </c>
      <c r="C23" s="3">
        <v>1</v>
      </c>
      <c r="D23" s="6">
        <v>26.99</v>
      </c>
      <c r="E23" s="3" t="s">
        <v>1278</v>
      </c>
      <c r="F23" s="2" t="s">
        <v>2536</v>
      </c>
      <c r="G23" s="7" t="s">
        <v>2627</v>
      </c>
      <c r="H23" s="2" t="s">
        <v>2419</v>
      </c>
      <c r="I23" s="2" t="s">
        <v>2406</v>
      </c>
      <c r="J23" s="2" t="s">
        <v>2361</v>
      </c>
      <c r="K23" s="2" t="s">
        <v>1279</v>
      </c>
      <c r="L23" s="8" t="str">
        <f>HYPERLINK("http://slimages.macys.com/is/image/MCY/9613901 ")</f>
        <v xml:space="preserve">http://slimages.macys.com/is/image/MCY/9613901 </v>
      </c>
    </row>
    <row r="24" spans="1:12" ht="30" customHeight="1" x14ac:dyDescent="0.25">
      <c r="A24" s="5" t="s">
        <v>1280</v>
      </c>
      <c r="B24" s="2" t="s">
        <v>1281</v>
      </c>
      <c r="C24" s="3">
        <v>1</v>
      </c>
      <c r="D24" s="6">
        <v>25.99</v>
      </c>
      <c r="E24" s="3">
        <v>1002825100</v>
      </c>
      <c r="F24" s="2" t="s">
        <v>2381</v>
      </c>
      <c r="G24" s="7"/>
      <c r="H24" s="2" t="s">
        <v>2815</v>
      </c>
      <c r="I24" s="2" t="s">
        <v>3390</v>
      </c>
      <c r="J24" s="2" t="s">
        <v>2361</v>
      </c>
      <c r="K24" s="2" t="s">
        <v>1282</v>
      </c>
      <c r="L24" s="8" t="str">
        <f>HYPERLINK("http://slimages.macys.com/is/image/MCY/10029627 ")</f>
        <v xml:space="preserve">http://slimages.macys.com/is/image/MCY/10029627 </v>
      </c>
    </row>
    <row r="25" spans="1:12" ht="30" customHeight="1" x14ac:dyDescent="0.25">
      <c r="A25" s="5" t="s">
        <v>1283</v>
      </c>
      <c r="B25" s="2" t="s">
        <v>1284</v>
      </c>
      <c r="C25" s="3">
        <v>3</v>
      </c>
      <c r="D25" s="6">
        <v>25.99</v>
      </c>
      <c r="E25" s="3" t="s">
        <v>1285</v>
      </c>
      <c r="F25" s="2" t="s">
        <v>2605</v>
      </c>
      <c r="G25" s="7"/>
      <c r="H25" s="2" t="s">
        <v>2815</v>
      </c>
      <c r="I25" s="2" t="s">
        <v>3390</v>
      </c>
      <c r="J25" s="2" t="s">
        <v>2361</v>
      </c>
      <c r="K25" s="2" t="s">
        <v>1286</v>
      </c>
      <c r="L25" s="8" t="str">
        <f>HYPERLINK("http://slimages.macys.com/is/image/MCY/10259958 ")</f>
        <v xml:space="preserve">http://slimages.macys.com/is/image/MCY/10259958 </v>
      </c>
    </row>
    <row r="26" spans="1:12" ht="30" customHeight="1" x14ac:dyDescent="0.25">
      <c r="A26" s="5" t="s">
        <v>1287</v>
      </c>
      <c r="B26" s="2" t="s">
        <v>1288</v>
      </c>
      <c r="C26" s="3">
        <v>2</v>
      </c>
      <c r="D26" s="6">
        <v>19.989999999999998</v>
      </c>
      <c r="E26" s="3" t="s">
        <v>1289</v>
      </c>
      <c r="F26" s="2" t="s">
        <v>2768</v>
      </c>
      <c r="G26" s="7" t="s">
        <v>2518</v>
      </c>
      <c r="H26" s="2" t="s">
        <v>2419</v>
      </c>
      <c r="I26" s="2" t="s">
        <v>2406</v>
      </c>
      <c r="J26" s="2" t="s">
        <v>2361</v>
      </c>
      <c r="K26" s="2" t="s">
        <v>1290</v>
      </c>
      <c r="L26" s="8" t="str">
        <f>HYPERLINK("http://slimages.macys.com/is/image/MCY/9613896 ")</f>
        <v xml:space="preserve">http://slimages.macys.com/is/image/MCY/9613896 </v>
      </c>
    </row>
    <row r="27" spans="1:12" ht="30" customHeight="1" x14ac:dyDescent="0.25">
      <c r="A27" s="5" t="s">
        <v>1291</v>
      </c>
      <c r="B27" s="2" t="s">
        <v>1292</v>
      </c>
      <c r="C27" s="3">
        <v>1</v>
      </c>
      <c r="D27" s="6">
        <v>24.99</v>
      </c>
      <c r="E27" s="3" t="s">
        <v>1293</v>
      </c>
      <c r="F27" s="2" t="s">
        <v>2381</v>
      </c>
      <c r="G27" s="7" t="s">
        <v>2382</v>
      </c>
      <c r="H27" s="2" t="s">
        <v>2419</v>
      </c>
      <c r="I27" s="2" t="s">
        <v>2798</v>
      </c>
      <c r="J27" s="2" t="s">
        <v>2361</v>
      </c>
      <c r="K27" s="2" t="s">
        <v>1275</v>
      </c>
      <c r="L27" s="8" t="str">
        <f>HYPERLINK("http://slimages.macys.com/is/image/MCY/11838415 ")</f>
        <v xml:space="preserve">http://slimages.macys.com/is/image/MCY/11838415 </v>
      </c>
    </row>
    <row r="28" spans="1:12" ht="30" customHeight="1" x14ac:dyDescent="0.25">
      <c r="A28" s="5" t="s">
        <v>1294</v>
      </c>
      <c r="B28" s="2" t="s">
        <v>1295</v>
      </c>
      <c r="C28" s="3">
        <v>1</v>
      </c>
      <c r="D28" s="6">
        <v>29.99</v>
      </c>
      <c r="E28" s="3" t="s">
        <v>1296</v>
      </c>
      <c r="F28" s="2"/>
      <c r="G28" s="7"/>
      <c r="H28" s="2" t="s">
        <v>2359</v>
      </c>
      <c r="I28" s="2" t="s">
        <v>2803</v>
      </c>
      <c r="J28" s="2" t="s">
        <v>2361</v>
      </c>
      <c r="K28" s="2" t="s">
        <v>1297</v>
      </c>
      <c r="L28" s="8" t="str">
        <f>HYPERLINK("http://slimages.macys.com/is/image/MCY/3455015 ")</f>
        <v xml:space="preserve">http://slimages.macys.com/is/image/MCY/3455015 </v>
      </c>
    </row>
    <row r="29" spans="1:12" ht="30" customHeight="1" x14ac:dyDescent="0.25">
      <c r="A29" s="5" t="s">
        <v>1298</v>
      </c>
      <c r="B29" s="2" t="s">
        <v>1299</v>
      </c>
      <c r="C29" s="3">
        <v>2</v>
      </c>
      <c r="D29" s="6">
        <v>19.989999999999998</v>
      </c>
      <c r="E29" s="3" t="s">
        <v>1300</v>
      </c>
      <c r="F29" s="2" t="s">
        <v>2440</v>
      </c>
      <c r="G29" s="7" t="s">
        <v>2518</v>
      </c>
      <c r="H29" s="2" t="s">
        <v>2419</v>
      </c>
      <c r="I29" s="2" t="s">
        <v>2406</v>
      </c>
      <c r="J29" s="2" t="s">
        <v>2361</v>
      </c>
      <c r="K29" s="2" t="s">
        <v>2523</v>
      </c>
      <c r="L29" s="8" t="str">
        <f>HYPERLINK("http://slimages.macys.com/is/image/MCY/9602450 ")</f>
        <v xml:space="preserve">http://slimages.macys.com/is/image/MCY/9602450 </v>
      </c>
    </row>
    <row r="30" spans="1:12" ht="30" customHeight="1" x14ac:dyDescent="0.25">
      <c r="A30" s="5" t="s">
        <v>1301</v>
      </c>
      <c r="B30" s="2" t="s">
        <v>1302</v>
      </c>
      <c r="C30" s="3">
        <v>1</v>
      </c>
      <c r="D30" s="6">
        <v>24.99</v>
      </c>
      <c r="E30" s="3" t="s">
        <v>1303</v>
      </c>
      <c r="F30" s="2" t="s">
        <v>3024</v>
      </c>
      <c r="G30" s="7" t="s">
        <v>2382</v>
      </c>
      <c r="H30" s="2" t="s">
        <v>2419</v>
      </c>
      <c r="I30" s="2" t="s">
        <v>3013</v>
      </c>
      <c r="J30" s="2" t="s">
        <v>2361</v>
      </c>
      <c r="K30" s="2" t="s">
        <v>2377</v>
      </c>
      <c r="L30" s="8" t="str">
        <f>HYPERLINK("http://slimages.macys.com/is/image/MCY/9649837 ")</f>
        <v xml:space="preserve">http://slimages.macys.com/is/image/MCY/9649837 </v>
      </c>
    </row>
    <row r="31" spans="1:12" ht="30" customHeight="1" x14ac:dyDescent="0.25">
      <c r="A31" s="5" t="s">
        <v>1304</v>
      </c>
      <c r="B31" s="2" t="s">
        <v>1305</v>
      </c>
      <c r="C31" s="3">
        <v>1</v>
      </c>
      <c r="D31" s="6">
        <v>24.99</v>
      </c>
      <c r="E31" s="3" t="s">
        <v>1306</v>
      </c>
      <c r="F31" s="2"/>
      <c r="G31" s="7"/>
      <c r="H31" s="2" t="s">
        <v>2459</v>
      </c>
      <c r="I31" s="2" t="s">
        <v>2807</v>
      </c>
      <c r="J31" s="2" t="s">
        <v>2361</v>
      </c>
      <c r="K31" s="2" t="s">
        <v>2377</v>
      </c>
      <c r="L31" s="8" t="str">
        <f>HYPERLINK("http://slimages.macys.com/is/image/MCY/3383553 ")</f>
        <v xml:space="preserve">http://slimages.macys.com/is/image/MCY/3383553 </v>
      </c>
    </row>
    <row r="32" spans="1:12" ht="30" customHeight="1" x14ac:dyDescent="0.25">
      <c r="A32" s="5" t="s">
        <v>1307</v>
      </c>
      <c r="B32" s="2" t="s">
        <v>1308</v>
      </c>
      <c r="C32" s="3">
        <v>1</v>
      </c>
      <c r="D32" s="6">
        <v>19.989999999999998</v>
      </c>
      <c r="E32" s="3" t="s">
        <v>1309</v>
      </c>
      <c r="F32" s="2" t="s">
        <v>2927</v>
      </c>
      <c r="G32" s="7"/>
      <c r="H32" s="2" t="s">
        <v>2419</v>
      </c>
      <c r="I32" s="2" t="s">
        <v>3104</v>
      </c>
      <c r="J32" s="2" t="s">
        <v>2361</v>
      </c>
      <c r="K32" s="2"/>
      <c r="L32" s="8" t="str">
        <f>HYPERLINK("http://slimages.macys.com/is/image/MCY/13701033 ")</f>
        <v xml:space="preserve">http://slimages.macys.com/is/image/MCY/13701033 </v>
      </c>
    </row>
    <row r="33" spans="1:12" ht="30" customHeight="1" x14ac:dyDescent="0.25">
      <c r="A33" s="5" t="s">
        <v>1310</v>
      </c>
      <c r="B33" s="2" t="s">
        <v>1311</v>
      </c>
      <c r="C33" s="3">
        <v>1</v>
      </c>
      <c r="D33" s="6">
        <v>19.989999999999998</v>
      </c>
      <c r="E33" s="3" t="s">
        <v>1312</v>
      </c>
      <c r="F33" s="2" t="s">
        <v>2366</v>
      </c>
      <c r="G33" s="7"/>
      <c r="H33" s="2" t="s">
        <v>2419</v>
      </c>
      <c r="I33" s="2" t="s">
        <v>2406</v>
      </c>
      <c r="J33" s="2" t="s">
        <v>2361</v>
      </c>
      <c r="K33" s="2" t="s">
        <v>1313</v>
      </c>
      <c r="L33" s="8" t="str">
        <f>HYPERLINK("http://slimages.macys.com/is/image/MCY/3664925 ")</f>
        <v xml:space="preserve">http://slimages.macys.com/is/image/MCY/3664925 </v>
      </c>
    </row>
    <row r="34" spans="1:12" ht="30" customHeight="1" x14ac:dyDescent="0.25">
      <c r="A34" s="5" t="s">
        <v>1314</v>
      </c>
      <c r="B34" s="2" t="s">
        <v>1315</v>
      </c>
      <c r="C34" s="3">
        <v>6</v>
      </c>
      <c r="D34" s="6">
        <v>9.99</v>
      </c>
      <c r="E34" s="3" t="s">
        <v>1316</v>
      </c>
      <c r="F34" s="2" t="s">
        <v>2381</v>
      </c>
      <c r="G34" s="7"/>
      <c r="H34" s="2" t="s">
        <v>2419</v>
      </c>
      <c r="I34" s="2" t="s">
        <v>1060</v>
      </c>
      <c r="J34" s="2" t="s">
        <v>2361</v>
      </c>
      <c r="K34" s="2"/>
      <c r="L34" s="8" t="str">
        <f>HYPERLINK("http://slimages.macys.com/is/image/MCY/15383514 ")</f>
        <v xml:space="preserve">http://slimages.macys.com/is/image/MCY/15383514 </v>
      </c>
    </row>
    <row r="35" spans="1:12" ht="30" customHeight="1" x14ac:dyDescent="0.25">
      <c r="A35" s="5" t="s">
        <v>1317</v>
      </c>
      <c r="B35" s="2" t="s">
        <v>1318</v>
      </c>
      <c r="C35" s="3">
        <v>1</v>
      </c>
      <c r="D35" s="6">
        <v>9.99</v>
      </c>
      <c r="E35" s="3" t="s">
        <v>1319</v>
      </c>
      <c r="F35" s="2" t="s">
        <v>2640</v>
      </c>
      <c r="G35" s="7"/>
      <c r="H35" s="2" t="s">
        <v>2419</v>
      </c>
      <c r="I35" s="2" t="s">
        <v>1060</v>
      </c>
      <c r="J35" s="2" t="s">
        <v>2361</v>
      </c>
      <c r="K35" s="2"/>
      <c r="L35" s="8" t="str">
        <f>HYPERLINK("http://slimages.macys.com/is/image/MCY/15383508 ")</f>
        <v xml:space="preserve">http://slimages.macys.com/is/image/MCY/15383508 </v>
      </c>
    </row>
    <row r="36" spans="1:12" ht="30" customHeight="1" x14ac:dyDescent="0.25">
      <c r="A36" s="5" t="s">
        <v>1320</v>
      </c>
      <c r="B36" s="2" t="s">
        <v>1321</v>
      </c>
      <c r="C36" s="3">
        <v>2</v>
      </c>
      <c r="D36" s="6">
        <v>9.99</v>
      </c>
      <c r="E36" s="3" t="s">
        <v>1322</v>
      </c>
      <c r="F36" s="2" t="s">
        <v>2374</v>
      </c>
      <c r="G36" s="7"/>
      <c r="H36" s="2" t="s">
        <v>2419</v>
      </c>
      <c r="I36" s="2" t="s">
        <v>1060</v>
      </c>
      <c r="J36" s="2" t="s">
        <v>2361</v>
      </c>
      <c r="K36" s="2"/>
      <c r="L36" s="8" t="str">
        <f>HYPERLINK("http://slimages.macys.com/is/image/MCY/15383514 ")</f>
        <v xml:space="preserve">http://slimages.macys.com/is/image/MCY/15383514 </v>
      </c>
    </row>
    <row r="37" spans="1:12" ht="30" customHeight="1" x14ac:dyDescent="0.25">
      <c r="A37" s="5" t="s">
        <v>1323</v>
      </c>
      <c r="B37" s="2" t="s">
        <v>1324</v>
      </c>
      <c r="C37" s="3">
        <v>1</v>
      </c>
      <c r="D37" s="6">
        <v>24.99</v>
      </c>
      <c r="E37" s="3" t="s">
        <v>1325</v>
      </c>
      <c r="F37" s="2" t="s">
        <v>2517</v>
      </c>
      <c r="G37" s="7"/>
      <c r="H37" s="2" t="s">
        <v>2419</v>
      </c>
      <c r="I37" s="2" t="s">
        <v>1060</v>
      </c>
      <c r="J37" s="2" t="s">
        <v>2361</v>
      </c>
      <c r="K37" s="2" t="s">
        <v>2397</v>
      </c>
      <c r="L37" s="8" t="str">
        <f>HYPERLINK("http://slimages.macys.com/is/image/MCY/3250787 ")</f>
        <v xml:space="preserve">http://slimages.macys.com/is/image/MCY/3250787 </v>
      </c>
    </row>
    <row r="38" spans="1:12" ht="30" customHeight="1" x14ac:dyDescent="0.25">
      <c r="A38" s="5" t="s">
        <v>1326</v>
      </c>
      <c r="B38" s="2" t="s">
        <v>1327</v>
      </c>
      <c r="C38" s="3">
        <v>1</v>
      </c>
      <c r="D38" s="6">
        <v>24.99</v>
      </c>
      <c r="E38" s="3" t="s">
        <v>1328</v>
      </c>
      <c r="F38" s="2" t="s">
        <v>2381</v>
      </c>
      <c r="G38" s="7"/>
      <c r="H38" s="2" t="s">
        <v>2419</v>
      </c>
      <c r="I38" s="2" t="s">
        <v>1060</v>
      </c>
      <c r="J38" s="2" t="s">
        <v>2361</v>
      </c>
      <c r="K38" s="2" t="s">
        <v>2397</v>
      </c>
      <c r="L38" s="8" t="str">
        <f>HYPERLINK("http://slimages.macys.com/is/image/MCY/3250787 ")</f>
        <v xml:space="preserve">http://slimages.macys.com/is/image/MCY/3250787 </v>
      </c>
    </row>
    <row r="39" spans="1:12" ht="30" customHeight="1" x14ac:dyDescent="0.25">
      <c r="A39" s="5" t="s">
        <v>1329</v>
      </c>
      <c r="B39" s="2" t="s">
        <v>1330</v>
      </c>
      <c r="C39" s="3">
        <v>1</v>
      </c>
      <c r="D39" s="6">
        <v>12.99</v>
      </c>
      <c r="E39" s="3">
        <v>32802</v>
      </c>
      <c r="F39" s="2"/>
      <c r="G39" s="7" t="s">
        <v>2546</v>
      </c>
      <c r="H39" s="2" t="s">
        <v>2459</v>
      </c>
      <c r="I39" s="2" t="s">
        <v>2547</v>
      </c>
      <c r="J39" s="2"/>
      <c r="K39" s="2"/>
      <c r="L39" s="8" t="str">
        <f>HYPERLINK("http://slimages.macys.com/is/image/MCY/8931767 ")</f>
        <v xml:space="preserve">http://slimages.macys.com/is/image/MCY/8931767 </v>
      </c>
    </row>
    <row r="40" spans="1:12" ht="30" customHeight="1" x14ac:dyDescent="0.25">
      <c r="A40" s="5" t="s">
        <v>1331</v>
      </c>
      <c r="B40" s="2" t="s">
        <v>1332</v>
      </c>
      <c r="C40" s="3">
        <v>1</v>
      </c>
      <c r="D40" s="6">
        <v>8.99</v>
      </c>
      <c r="E40" s="3">
        <v>80189</v>
      </c>
      <c r="F40" s="2" t="s">
        <v>2424</v>
      </c>
      <c r="G40" s="7"/>
      <c r="H40" s="2" t="s">
        <v>2419</v>
      </c>
      <c r="I40" s="2" t="s">
        <v>2360</v>
      </c>
      <c r="J40" s="2" t="s">
        <v>2432</v>
      </c>
      <c r="K40" s="2"/>
      <c r="L40" s="8" t="str">
        <f>HYPERLINK("http://slimages.macys.com/is/image/MCY/10031126 ")</f>
        <v xml:space="preserve">http://slimages.macys.com/is/image/MCY/10031126 </v>
      </c>
    </row>
    <row r="41" spans="1:12" ht="30" customHeight="1" x14ac:dyDescent="0.25">
      <c r="A41" s="5" t="s">
        <v>1333</v>
      </c>
      <c r="B41" s="2" t="s">
        <v>1334</v>
      </c>
      <c r="C41" s="3">
        <v>1</v>
      </c>
      <c r="D41" s="6">
        <v>8.99</v>
      </c>
      <c r="E41" s="3">
        <v>78287</v>
      </c>
      <c r="F41" s="2" t="s">
        <v>2394</v>
      </c>
      <c r="G41" s="7"/>
      <c r="H41" s="2" t="s">
        <v>2419</v>
      </c>
      <c r="I41" s="2" t="s">
        <v>2360</v>
      </c>
      <c r="J41" s="2"/>
      <c r="K41" s="2"/>
      <c r="L41" s="8" t="str">
        <f>HYPERLINK("http://slimages.macys.com/is/image/MCY/8940397 ")</f>
        <v xml:space="preserve">http://slimages.macys.com/is/image/MCY/8940397 </v>
      </c>
    </row>
    <row r="42" spans="1:12" ht="30" customHeight="1" x14ac:dyDescent="0.25">
      <c r="A42" s="5" t="s">
        <v>1335</v>
      </c>
      <c r="B42" s="2" t="s">
        <v>1336</v>
      </c>
      <c r="C42" s="3">
        <v>1</v>
      </c>
      <c r="D42" s="6">
        <v>12.99</v>
      </c>
      <c r="E42" s="3" t="s">
        <v>1337</v>
      </c>
      <c r="F42" s="2" t="s">
        <v>3381</v>
      </c>
      <c r="G42" s="7" t="s">
        <v>2546</v>
      </c>
      <c r="H42" s="2" t="s">
        <v>2532</v>
      </c>
      <c r="I42" s="2" t="s">
        <v>2928</v>
      </c>
      <c r="J42" s="2" t="s">
        <v>2361</v>
      </c>
      <c r="K42" s="2" t="s">
        <v>2508</v>
      </c>
      <c r="L42" s="8" t="str">
        <f>HYPERLINK("http://slimages.macys.com/is/image/MCY/12737814 ")</f>
        <v xml:space="preserve">http://slimages.macys.com/is/image/MCY/12737814 </v>
      </c>
    </row>
    <row r="43" spans="1:12" ht="30" customHeight="1" x14ac:dyDescent="0.25">
      <c r="A43" s="5" t="s">
        <v>1338</v>
      </c>
      <c r="B43" s="2" t="s">
        <v>1339</v>
      </c>
      <c r="C43" s="3">
        <v>1</v>
      </c>
      <c r="D43" s="6">
        <v>11.49</v>
      </c>
      <c r="E43" s="3" t="s">
        <v>1340</v>
      </c>
      <c r="F43" s="2" t="s">
        <v>2374</v>
      </c>
      <c r="G43" s="7" t="s">
        <v>2990</v>
      </c>
      <c r="H43" s="2" t="s">
        <v>2412</v>
      </c>
      <c r="I43" s="2" t="s">
        <v>2562</v>
      </c>
      <c r="J43" s="2"/>
      <c r="K43" s="2"/>
      <c r="L43" s="8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2021-04-01T12:44:37Z</dcterms:created>
  <dcterms:modified xsi:type="dcterms:W3CDTF">2021-04-03T08:48:53Z</dcterms:modified>
</cp:coreProperties>
</file>